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fileSharing userName="Thomas Martinhal" algorithmName="SHA-512" hashValue="6J+7Y0Nb1NjhkHOPZwTcTWO/NFh2+bwsKhVKMVxq6bPQ3FRBm+cj0CqCw23OFGyhC2aqEf0emWbS5gPwaqccLw==" saltValue="45fu+bWk4stk66B2TXb5uQ==" spinCount="100000"/>
  <workbookPr/>
  <mc:AlternateContent xmlns:mc="http://schemas.openxmlformats.org/markup-compatibility/2006">
    <mc:Choice Requires="x15">
      <x15ac:absPath xmlns:x15ac="http://schemas.microsoft.com/office/spreadsheetml/2010/11/ac" url="C:\Users\thoma\Downloads\"/>
    </mc:Choice>
  </mc:AlternateContent>
  <xr:revisionPtr revIDLastSave="0" documentId="8_{8277B084-0AF0-46C0-A975-356BBEAF348B}" xr6:coauthVersionLast="47" xr6:coauthVersionMax="47" xr10:uidLastSave="{00000000-0000-0000-0000-000000000000}"/>
  <bookViews>
    <workbookView xWindow="28680" yWindow="-540" windowWidth="29040" windowHeight="16440" xr2:uid="{00000000-000D-0000-FFFF-FFFF00000000}"/>
  </bookViews>
  <sheets>
    <sheet name="Digital nomad city data" sheetId="1" r:id="rId1"/>
    <sheet name="Other data source ideas" sheetId="2" r:id="rId2"/>
    <sheet name="Charts" sheetId="3" r:id="rId3"/>
  </sheets>
  <definedNames>
    <definedName name="_xlnm._FilterDatabase" localSheetId="0" hidden="1">'Digital nomad city data'!$A$1:$AS$31</definedName>
    <definedName name="NamedRange1">#REF!</definedName>
  </definedNames>
  <calcPr calcId="181029"/>
</workbook>
</file>

<file path=xl/calcChain.xml><?xml version="1.0" encoding="utf-8"?>
<calcChain xmlns="http://schemas.openxmlformats.org/spreadsheetml/2006/main">
  <c r="AK31" i="1" l="1"/>
  <c r="AD31" i="1"/>
  <c r="AB31" i="1"/>
  <c r="AA31" i="1"/>
  <c r="Q31" i="1"/>
  <c r="B31" i="1"/>
  <c r="D31" i="1" s="1"/>
  <c r="E31" i="1" s="1"/>
  <c r="AK30" i="1"/>
  <c r="AH30" i="1"/>
  <c r="AD30" i="1"/>
  <c r="AB30" i="1"/>
  <c r="AA30" i="1"/>
  <c r="Q30" i="1"/>
  <c r="B30" i="1"/>
  <c r="D30" i="1" s="1"/>
  <c r="E30" i="1" s="1"/>
  <c r="AK29" i="1"/>
  <c r="AH29" i="1"/>
  <c r="AD29" i="1"/>
  <c r="AB29" i="1"/>
  <c r="AA29" i="1"/>
  <c r="Q29" i="1"/>
  <c r="B29" i="1"/>
  <c r="D29" i="1" s="1"/>
  <c r="E29" i="1" s="1"/>
  <c r="AK28" i="1"/>
  <c r="AH28" i="1"/>
  <c r="AD28" i="1"/>
  <c r="AB28" i="1"/>
  <c r="AA28" i="1"/>
  <c r="Q28" i="1"/>
  <c r="B28" i="1"/>
  <c r="D28" i="1" s="1"/>
  <c r="E28" i="1" s="1"/>
  <c r="AK27" i="1"/>
  <c r="AH27" i="1"/>
  <c r="AD27" i="1"/>
  <c r="AB27" i="1"/>
  <c r="AA27" i="1"/>
  <c r="Q27" i="1"/>
  <c r="B27" i="1"/>
  <c r="D27" i="1" s="1"/>
  <c r="E27" i="1" s="1"/>
  <c r="AK26" i="1"/>
  <c r="AH26" i="1"/>
  <c r="AD26" i="1"/>
  <c r="AB26" i="1"/>
  <c r="AA26" i="1"/>
  <c r="Q26" i="1"/>
  <c r="B26" i="1"/>
  <c r="D26" i="1" s="1"/>
  <c r="E26" i="1" s="1"/>
  <c r="AK25" i="1"/>
  <c r="AH25" i="1"/>
  <c r="AD25" i="1"/>
  <c r="AB25" i="1"/>
  <c r="AA25" i="1"/>
  <c r="Q25" i="1"/>
  <c r="B25" i="1"/>
  <c r="D25" i="1" s="1"/>
  <c r="E25" i="1" s="1"/>
  <c r="AK24" i="1"/>
  <c r="AD24" i="1"/>
  <c r="AB24" i="1"/>
  <c r="AA24" i="1"/>
  <c r="Q24" i="1"/>
  <c r="B24" i="1"/>
  <c r="D24" i="1" s="1"/>
  <c r="E24" i="1" s="1"/>
  <c r="AK23" i="1"/>
  <c r="AH23" i="1"/>
  <c r="AD23" i="1"/>
  <c r="AB23" i="1"/>
  <c r="AA23" i="1"/>
  <c r="Q23" i="1"/>
  <c r="D23" i="1"/>
  <c r="E23" i="1" s="1"/>
  <c r="B23" i="1"/>
  <c r="AK22" i="1"/>
  <c r="AH22" i="1"/>
  <c r="AD22" i="1"/>
  <c r="AB22" i="1"/>
  <c r="AA22" i="1"/>
  <c r="Q22" i="1"/>
  <c r="D22" i="1"/>
  <c r="E22" i="1" s="1"/>
  <c r="B22" i="1"/>
  <c r="AK21" i="1"/>
  <c r="AH21" i="1"/>
  <c r="AD21" i="1"/>
  <c r="AB21" i="1"/>
  <c r="AA21" i="1"/>
  <c r="Q21" i="1"/>
  <c r="E21" i="1"/>
  <c r="D21" i="1"/>
  <c r="B21" i="1"/>
  <c r="AK20" i="1"/>
  <c r="AH20" i="1"/>
  <c r="AD20" i="1"/>
  <c r="AB20" i="1"/>
  <c r="AA20" i="1"/>
  <c r="Y20" i="1"/>
  <c r="U20" i="1"/>
  <c r="Q20" i="1"/>
  <c r="D20" i="1"/>
  <c r="E20" i="1" s="1"/>
  <c r="B20" i="1"/>
  <c r="AK19" i="1"/>
  <c r="AH19" i="1"/>
  <c r="AD19" i="1"/>
  <c r="AB19" i="1"/>
  <c r="Q19" i="1"/>
  <c r="B19" i="1"/>
  <c r="D19" i="1" s="1"/>
  <c r="E19" i="1" s="1"/>
  <c r="AK18" i="1"/>
  <c r="AH18" i="1"/>
  <c r="AD18" i="1"/>
  <c r="AB18" i="1"/>
  <c r="AA18" i="1"/>
  <c r="Y18" i="1"/>
  <c r="Q18" i="1"/>
  <c r="B18" i="1"/>
  <c r="D18" i="1" s="1"/>
  <c r="E18" i="1" s="1"/>
  <c r="AK17" i="1"/>
  <c r="AD17" i="1"/>
  <c r="AB17" i="1"/>
  <c r="AA17" i="1"/>
  <c r="Q17" i="1"/>
  <c r="B17" i="1"/>
  <c r="D17" i="1" s="1"/>
  <c r="E17" i="1" s="1"/>
  <c r="AK16" i="1"/>
  <c r="AH16" i="1"/>
  <c r="AD16" i="1"/>
  <c r="AB16" i="1"/>
  <c r="AA16" i="1"/>
  <c r="Y16" i="1"/>
  <c r="U16" i="1"/>
  <c r="Q16" i="1"/>
  <c r="E16" i="1"/>
  <c r="D16" i="1"/>
  <c r="B16" i="1"/>
  <c r="AK15" i="1"/>
  <c r="AH15" i="1"/>
  <c r="AD15" i="1"/>
  <c r="AB15" i="1"/>
  <c r="AA15" i="1"/>
  <c r="Q15" i="1"/>
  <c r="B15" i="1"/>
  <c r="D15" i="1" s="1"/>
  <c r="E15" i="1" s="1"/>
  <c r="AK14" i="1"/>
  <c r="AH14" i="1"/>
  <c r="AD14" i="1"/>
  <c r="AB14" i="1"/>
  <c r="AA14" i="1"/>
  <c r="Q14" i="1"/>
  <c r="D14" i="1"/>
  <c r="E14" i="1" s="1"/>
  <c r="B14" i="1"/>
  <c r="AK13" i="1"/>
  <c r="AD13" i="1"/>
  <c r="AB13" i="1"/>
  <c r="AA13" i="1"/>
  <c r="Q13" i="1"/>
  <c r="B13" i="1"/>
  <c r="D13" i="1" s="1"/>
  <c r="E13" i="1" s="1"/>
  <c r="AK12" i="1"/>
  <c r="AH12" i="1"/>
  <c r="AD12" i="1"/>
  <c r="AB12" i="1"/>
  <c r="AA12" i="1"/>
  <c r="Q12" i="1"/>
  <c r="D12" i="1"/>
  <c r="E12" i="1" s="1"/>
  <c r="B12" i="1"/>
  <c r="AK11" i="1"/>
  <c r="AH11" i="1"/>
  <c r="AD11" i="1"/>
  <c r="AB11" i="1"/>
  <c r="AA11" i="1"/>
  <c r="Q11" i="1"/>
  <c r="B11" i="1"/>
  <c r="D11" i="1" s="1"/>
  <c r="E11" i="1" s="1"/>
  <c r="AK10" i="1"/>
  <c r="AD10" i="1"/>
  <c r="AB10" i="1"/>
  <c r="AA10" i="1"/>
  <c r="Q10" i="1"/>
  <c r="B10" i="1"/>
  <c r="D10" i="1" s="1"/>
  <c r="E10" i="1" s="1"/>
  <c r="AK9" i="1"/>
  <c r="AH9" i="1"/>
  <c r="AD9" i="1"/>
  <c r="AB9" i="1"/>
  <c r="AA9" i="1"/>
  <c r="Q9" i="1"/>
  <c r="B9" i="1"/>
  <c r="D9" i="1" s="1"/>
  <c r="E9" i="1" s="1"/>
  <c r="AK8" i="1"/>
  <c r="AH8" i="1"/>
  <c r="AD8" i="1"/>
  <c r="AB8" i="1"/>
  <c r="AA8" i="1"/>
  <c r="Y8" i="1"/>
  <c r="U8" i="1"/>
  <c r="Q8" i="1"/>
  <c r="E8" i="1"/>
  <c r="D8" i="1"/>
  <c r="B8" i="1"/>
  <c r="AK7" i="1"/>
  <c r="AD7" i="1"/>
  <c r="AB7" i="1"/>
  <c r="AA7" i="1"/>
  <c r="Q7" i="1"/>
  <c r="B7" i="1"/>
  <c r="D7" i="1" s="1"/>
  <c r="E7" i="1" s="1"/>
  <c r="AK6" i="1"/>
  <c r="AD6" i="1"/>
  <c r="AB6" i="1"/>
  <c r="AA6" i="1"/>
  <c r="Q6" i="1"/>
  <c r="B6" i="1"/>
  <c r="D6" i="1" s="1"/>
  <c r="E6" i="1" s="1"/>
  <c r="AK5" i="1"/>
  <c r="AH5" i="1"/>
  <c r="AD5" i="1"/>
  <c r="AB5" i="1"/>
  <c r="AA5" i="1"/>
  <c r="Q5" i="1"/>
  <c r="B5" i="1"/>
  <c r="D5" i="1" s="1"/>
  <c r="E5" i="1" s="1"/>
  <c r="AK4" i="1"/>
  <c r="AH4" i="1"/>
  <c r="AD4" i="1"/>
  <c r="AB4" i="1"/>
  <c r="AA4" i="1"/>
  <c r="Q4" i="1"/>
  <c r="B4" i="1"/>
  <c r="D4" i="1" s="1"/>
  <c r="E4" i="1" s="1"/>
  <c r="AK3" i="1"/>
  <c r="AH3" i="1"/>
  <c r="AD3" i="1"/>
  <c r="AB3" i="1"/>
  <c r="AA3" i="1"/>
  <c r="Q3" i="1"/>
  <c r="B3" i="1"/>
  <c r="D3" i="1" s="1"/>
  <c r="E3" i="1" s="1"/>
  <c r="AK2" i="1"/>
  <c r="AH2" i="1"/>
  <c r="AD2" i="1"/>
  <c r="AB2" i="1"/>
  <c r="AA2" i="1"/>
  <c r="Q2" i="1"/>
  <c r="B2" i="1"/>
  <c r="D2" i="1" s="1"/>
  <c r="E2" i="1" s="1"/>
</calcChain>
</file>

<file path=xl/sharedStrings.xml><?xml version="1.0" encoding="utf-8"?>
<sst xmlns="http://schemas.openxmlformats.org/spreadsheetml/2006/main" count="129" uniqueCount="126">
  <si>
    <t>City</t>
  </si>
  <si>
    <t>Scoring: total</t>
  </si>
  <si>
    <t>Percentage</t>
  </si>
  <si>
    <t>Digital Nomad Score</t>
  </si>
  <si>
    <t>Sunshine score</t>
  </si>
  <si>
    <t>Sunshine hours per year</t>
  </si>
  <si>
    <t xml:space="preserve">Avg. annual rainfall (mm) </t>
  </si>
  <si>
    <t>Rain score</t>
  </si>
  <si>
    <t>Dangerous crimes rate (national)</t>
  </si>
  <si>
    <t>Crime rank</t>
  </si>
  <si>
    <t>Citizen happiness score</t>
  </si>
  <si>
    <t>Happiness ranking</t>
  </si>
  <si>
    <t>Happiness score</t>
  </si>
  <si>
    <t>Max. cost of work visa</t>
  </si>
  <si>
    <t>Visa cost score</t>
  </si>
  <si>
    <t>Visa cost in GBP</t>
  </si>
  <si>
    <t>Avg. Internet speed (Mbps)</t>
  </si>
  <si>
    <t>Internet socre</t>
  </si>
  <si>
    <t>Total monthly living cost for a single person</t>
  </si>
  <si>
    <t>Cost of living GBP</t>
  </si>
  <si>
    <t>CoL score</t>
  </si>
  <si>
    <t>Monthly rent (1 bed apartment)</t>
  </si>
  <si>
    <t>Rent score</t>
  </si>
  <si>
    <t>Avg. rent GBP</t>
  </si>
  <si>
    <t>Monthly public transport costs</t>
  </si>
  <si>
    <t>Public transport costs in GBP</t>
  </si>
  <si>
    <t>Total monthly costs GBP</t>
  </si>
  <si>
    <t>Hotel rate per night</t>
  </si>
  <si>
    <t>Hotel rates GBP</t>
  </si>
  <si>
    <t>Public transport score</t>
  </si>
  <si>
    <t>Price of beer</t>
  </si>
  <si>
    <t>Beer score</t>
  </si>
  <si>
    <t>Price of beer GBP</t>
  </si>
  <si>
    <t>Price of coffee</t>
  </si>
  <si>
    <t>Coffee score</t>
  </si>
  <si>
    <t>Price of coffee GBP</t>
  </si>
  <si>
    <t>Number of Michelin Guide restaurants</t>
  </si>
  <si>
    <t>Foodie score</t>
  </si>
  <si>
    <t>Co-working spaces (WeWork)</t>
  </si>
  <si>
    <t>Coworking score</t>
  </si>
  <si>
    <t>Parks and nature attractions (Tripadvisor listings)</t>
  </si>
  <si>
    <t>Parks and nature score</t>
  </si>
  <si>
    <t>International schools</t>
  </si>
  <si>
    <t>International schools score</t>
  </si>
  <si>
    <t>Madrid, Spain</t>
  </si>
  <si>
    <t>Barcelona, Spain</t>
  </si>
  <si>
    <t>Lisbon, Portugal</t>
  </si>
  <si>
    <t>Budapest, Hungary</t>
  </si>
  <si>
    <t>Prague, Czech Republic</t>
  </si>
  <si>
    <t>Rome, Italy</t>
  </si>
  <si>
    <t>Athens, Greece</t>
  </si>
  <si>
    <t>Milan, Italy</t>
  </si>
  <si>
    <t>Warsaw, Poland</t>
  </si>
  <si>
    <t>Berlin, Germany</t>
  </si>
  <si>
    <t>Vienna, Austria</t>
  </si>
  <si>
    <t>Kraków, Poland</t>
  </si>
  <si>
    <t>Brussels, Belgium</t>
  </si>
  <si>
    <t>Paris, France</t>
  </si>
  <si>
    <t>Rhodes, Greece</t>
  </si>
  <si>
    <t>Porto, Portugal</t>
  </si>
  <si>
    <t>Nice, France</t>
  </si>
  <si>
    <t>Frankfurt, Germany</t>
  </si>
  <si>
    <t>Amsterdam, Netherlands</t>
  </si>
  <si>
    <t>London, England</t>
  </si>
  <si>
    <t>Munich, Germany</t>
  </si>
  <si>
    <t>Dubrovnik, Croatia</t>
  </si>
  <si>
    <t>Cardiff, Wales</t>
  </si>
  <si>
    <t>Dublin, Ireland</t>
  </si>
  <si>
    <t>Copenhagen, Denmark</t>
  </si>
  <si>
    <t>Oslo, Norway</t>
  </si>
  <si>
    <t>Stockholm, Sweden</t>
  </si>
  <si>
    <t>Helsinki, Finland</t>
  </si>
  <si>
    <t>Edinburgh, Scotland</t>
  </si>
  <si>
    <t>Reykjavik, Iceland</t>
  </si>
  <si>
    <t>Sources</t>
  </si>
  <si>
    <t>Living costs, transport, crime:</t>
  </si>
  <si>
    <t>livingcost.org</t>
  </si>
  <si>
    <t>costoflive.com</t>
  </si>
  <si>
    <t>interrelo.com</t>
  </si>
  <si>
    <t>housinganywhere.com</t>
  </si>
  <si>
    <t>budgetyourtrip.com</t>
  </si>
  <si>
    <t>expatistan.com</t>
  </si>
  <si>
    <t>finder.com</t>
  </si>
  <si>
    <t>statista.com</t>
  </si>
  <si>
    <r>
      <rPr>
        <u/>
        <sz val="10"/>
        <color rgb="FF000000"/>
        <rFont val="Arial"/>
      </rPr>
      <t xml:space="preserve">(Currencies by </t>
    </r>
    <r>
      <rPr>
        <u/>
        <sz val="10"/>
        <color rgb="FF1155CC"/>
        <rFont val="Arial"/>
      </rPr>
      <t>Google</t>
    </r>
    <r>
      <rPr>
        <u/>
        <sz val="10"/>
        <color rgb="FF1155CC"/>
        <rFont val="Arial"/>
      </rPr>
      <t>)</t>
    </r>
  </si>
  <si>
    <t>Happiness and quality of life:</t>
  </si>
  <si>
    <t>worldhappiness.report</t>
  </si>
  <si>
    <t>ivisa.com</t>
  </si>
  <si>
    <t>iamexpat.de</t>
  </si>
  <si>
    <t>countryeconomy.com</t>
  </si>
  <si>
    <t>insider.co.uk</t>
  </si>
  <si>
    <t>europelanguagejobs.com</t>
  </si>
  <si>
    <t>teleport.org</t>
  </si>
  <si>
    <t>Climate:</t>
  </si>
  <si>
    <t>en.wikipedia.org</t>
  </si>
  <si>
    <t>climatestotravel.com</t>
  </si>
  <si>
    <t>weather-and-climate.com</t>
  </si>
  <si>
    <t>en-climate--data-org</t>
  </si>
  <si>
    <t>currentresults.com</t>
  </si>
  <si>
    <t>Internet speeds:</t>
  </si>
  <si>
    <t>fairinternetreport.com</t>
  </si>
  <si>
    <t>speedtest.net</t>
  </si>
  <si>
    <t>prijsvergelijken.nl</t>
  </si>
  <si>
    <t>testmy.net</t>
  </si>
  <si>
    <t>broadbandspeedchecker.co.uk</t>
  </si>
  <si>
    <t>nomadtraveltools.com</t>
  </si>
  <si>
    <t>Michelin Guide locations:</t>
  </si>
  <si>
    <t>guide.michelin.com</t>
  </si>
  <si>
    <t>Coworking spaces:</t>
  </si>
  <si>
    <t>wework.com</t>
  </si>
  <si>
    <t>International schools:</t>
  </si>
  <si>
    <t>international-schools-database.com</t>
  </si>
  <si>
    <t>expat-quotes.com</t>
  </si>
  <si>
    <t>internationalschoolguide.com</t>
  </si>
  <si>
    <t>Parks and attractions:</t>
  </si>
  <si>
    <t>tripadvisor.co.uk</t>
  </si>
  <si>
    <t>Fuel costs</t>
  </si>
  <si>
    <t>https://www.globalpetrolprices.com/diesel_prices/Europe/</t>
  </si>
  <si>
    <t>Avg. monthly salary</t>
  </si>
  <si>
    <t>https://www.numbeo.com/cost-of-living/region_prices_by_city?itemId=105&amp;region=150&amp;displayCurrency=EUR</t>
  </si>
  <si>
    <t>Traffic/congestion</t>
  </si>
  <si>
    <t>https://www.tomtom.com/en_gb/traffic-index/ranking/</t>
  </si>
  <si>
    <t>Commute times</t>
  </si>
  <si>
    <t>https://www.mynewsdesk.com/eurofound/news/budapest-paris-and-amsterdam-report-longest-commuting-times-among-eu-capitals-394279</t>
  </si>
  <si>
    <t>Avg. Airbnb price</t>
  </si>
  <si>
    <t>https://www.alltherooms.com/analytics/average-airbnb-prices-by-city/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</si>
</sst>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€&quot;#,##0"/>
    <numFmt numFmtId="166" formatCode="[$£-809]#,##0.00"/>
    <numFmt numFmtId="167" formatCode="[$€]#,##0.00"/>
  </numFmts>
  <fonts count="22" x14ac:knownFonts="1">
    <font>
      <sz val="10"/>
      <color rgb="FF000000"/>
      <name val="Arial"/>
      <scheme val="minor"/>
    </font>
    <font>
      <b/>
      <sz val="10"/>
      <color rgb="FF333333"/>
      <name val="Arial"/>
      <scheme val="minor"/>
    </font>
    <font>
      <b/>
      <u/>
      <sz val="10"/>
      <color rgb="FF1155CC"/>
      <name val="Arial"/>
      <scheme val="minor"/>
    </font>
    <font>
      <b/>
      <u/>
      <sz val="10"/>
      <color rgb="FF1155CC"/>
      <name val="Arial"/>
      <scheme val="minor"/>
    </font>
    <font>
      <b/>
      <u/>
      <sz val="10"/>
      <color rgb="FF1155CC"/>
      <name val="Arial"/>
    </font>
    <font>
      <b/>
      <u/>
      <sz val="10"/>
      <color rgb="FF0000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333333"/>
      <name val="Arial"/>
      <scheme val="minor"/>
    </font>
    <font>
      <u/>
      <sz val="10"/>
      <color rgb="FF1155CC"/>
      <name val="Arial"/>
    </font>
    <font>
      <sz val="10"/>
      <color rgb="FF000000"/>
      <name val="Arial"/>
      <scheme val="minor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b/>
      <u/>
      <sz val="10"/>
      <color theme="1"/>
      <name val="Arial"/>
      <scheme val="minor"/>
    </font>
    <font>
      <b/>
      <sz val="10"/>
      <color rgb="FF000000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3" fontId="7" fillId="3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13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7" fillId="0" borderId="0" xfId="0" applyFont="1"/>
    <xf numFmtId="0" fontId="16" fillId="0" borderId="0" xfId="0" applyFont="1"/>
    <xf numFmtId="0" fontId="17" fillId="4" borderId="0" xfId="0" applyFont="1" applyFill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left"/>
    </xf>
    <xf numFmtId="0" fontId="6" fillId="0" borderId="0" xfId="0" applyFont="1"/>
    <xf numFmtId="0" fontId="2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Total monthly living costs in top EU cities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'Digital nomad city data'!$A$1</c:f>
              <c:strCache>
                <c:ptCount val="1"/>
                <c:pt idx="0">
                  <c:v>City</c:v>
                </c:pt>
              </c:strCache>
            </c:strRef>
          </c:tx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data'!$A$2:$A$31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9-4FBA-901C-B183D9794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60830"/>
        <c:axId val="924061658"/>
      </c:barChart>
      <c:catAx>
        <c:axId val="112156083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924061658"/>
        <c:crosses val="autoZero"/>
        <c:auto val="1"/>
        <c:lblAlgn val="ctr"/>
        <c:lblOffset val="100"/>
        <c:noMultiLvlLbl val="1"/>
      </c:catAx>
      <c:valAx>
        <c:axId val="92406165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12156083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Sunshine hours per year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'Digital nomad city data'!$B$1</c:f>
              <c:strCache>
                <c:ptCount val="1"/>
                <c:pt idx="0">
                  <c:v>Scoring: total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data'!$B$2:$B$31</c:f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4E4-47B1-A55A-D5E3E750F60C}"/>
            </c:ext>
          </c:extLst>
        </c:ser>
        <c:ser>
          <c:idx val="1"/>
          <c:order val="1"/>
          <c:tx>
            <c:strRef>
              <c:f>'Digital nomad city data'!$C$1</c:f>
              <c:strCache>
                <c:ptCount val="1"/>
                <c:pt idx="0">
                  <c:v>100%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data'!$C$2:$C$31</c:f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4E4-47B1-A55A-D5E3E750F60C}"/>
            </c:ext>
          </c:extLst>
        </c:ser>
        <c:ser>
          <c:idx val="2"/>
          <c:order val="2"/>
          <c:tx>
            <c:strRef>
              <c:f>'Digital nomad city data'!$D$1</c:f>
              <c:strCache>
                <c:ptCount val="1"/>
                <c:pt idx="0">
                  <c:v>Percentage</c:v>
                </c:pt>
              </c:strCache>
            </c:strRef>
          </c:tx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data'!$D$2:$D$31</c:f>
            </c:numRef>
          </c:val>
          <c:extLst>
            <c:ext xmlns:c16="http://schemas.microsoft.com/office/drawing/2014/chart" uri="{C3380CC4-5D6E-409C-BE32-E72D297353CC}">
              <c16:uniqueId val="{00000002-94E4-47B1-A55A-D5E3E750F60C}"/>
            </c:ext>
          </c:extLst>
        </c:ser>
        <c:ser>
          <c:idx val="3"/>
          <c:order val="3"/>
          <c:tx>
            <c:strRef>
              <c:f>'Digital nomad city data'!$E$1</c:f>
              <c:strCache>
                <c:ptCount val="1"/>
                <c:pt idx="0">
                  <c:v>Digital Nomad Score</c:v>
                </c:pt>
              </c:strCache>
            </c:strRef>
          </c:tx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data'!$E$2:$E$31</c:f>
              <c:numCache>
                <c:formatCode>#,##0.0</c:formatCode>
                <c:ptCount val="30"/>
                <c:pt idx="0">
                  <c:v>7.6222222222222236</c:v>
                </c:pt>
                <c:pt idx="1">
                  <c:v>7.4222222222222234</c:v>
                </c:pt>
                <c:pt idx="2">
                  <c:v>6.9555555555555557</c:v>
                </c:pt>
                <c:pt idx="3">
                  <c:v>6.7333333333333334</c:v>
                </c:pt>
                <c:pt idx="4">
                  <c:v>6.6222222222222236</c:v>
                </c:pt>
                <c:pt idx="5">
                  <c:v>6.5555555555555562</c:v>
                </c:pt>
                <c:pt idx="6">
                  <c:v>6.4444444444444446</c:v>
                </c:pt>
                <c:pt idx="7">
                  <c:v>6.4</c:v>
                </c:pt>
                <c:pt idx="8">
                  <c:v>6.155555555555555</c:v>
                </c:pt>
                <c:pt idx="9">
                  <c:v>6.0444444444444443</c:v>
                </c:pt>
                <c:pt idx="10">
                  <c:v>5.7777777777777777</c:v>
                </c:pt>
                <c:pt idx="11">
                  <c:v>5.511111111111112</c:v>
                </c:pt>
                <c:pt idx="12">
                  <c:v>5.3333333333333339</c:v>
                </c:pt>
                <c:pt idx="13">
                  <c:v>5.1333333333333329</c:v>
                </c:pt>
                <c:pt idx="14">
                  <c:v>5.1333333333333329</c:v>
                </c:pt>
                <c:pt idx="15">
                  <c:v>5.0222222222222221</c:v>
                </c:pt>
                <c:pt idx="16">
                  <c:v>4.8888888888888893</c:v>
                </c:pt>
                <c:pt idx="17">
                  <c:v>4.844444444444445</c:v>
                </c:pt>
                <c:pt idx="18">
                  <c:v>4.6444444444444448</c:v>
                </c:pt>
                <c:pt idx="19">
                  <c:v>4.6222222222222227</c:v>
                </c:pt>
                <c:pt idx="20">
                  <c:v>4.4222222222222225</c:v>
                </c:pt>
                <c:pt idx="21">
                  <c:v>4.4000000000000004</c:v>
                </c:pt>
                <c:pt idx="22">
                  <c:v>3.8888888888888893</c:v>
                </c:pt>
                <c:pt idx="23">
                  <c:v>3.8000000000000003</c:v>
                </c:pt>
                <c:pt idx="24">
                  <c:v>3.7777777777777781</c:v>
                </c:pt>
                <c:pt idx="25">
                  <c:v>3.7333333333333338</c:v>
                </c:pt>
                <c:pt idx="26">
                  <c:v>3.6888888888888887</c:v>
                </c:pt>
                <c:pt idx="27">
                  <c:v>3.4000000000000004</c:v>
                </c:pt>
                <c:pt idx="28">
                  <c:v>3.3555555555555561</c:v>
                </c:pt>
                <c:pt idx="29">
                  <c:v>2.666666666666667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4-47B1-A55A-D5E3E750F60C}"/>
            </c:ext>
          </c:extLst>
        </c:ser>
        <c:ser>
          <c:idx val="4"/>
          <c:order val="4"/>
          <c:tx>
            <c:strRef>
              <c:f>'Digital nomad city data'!$F$1</c:f>
              <c:strCache>
                <c:ptCount val="1"/>
                <c:pt idx="0">
                  <c:v>Sunshine score</c:v>
                </c:pt>
              </c:strCache>
            </c:strRef>
          </c:tx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data'!$F$2:$F$31</c:f>
            </c:numRef>
          </c:val>
          <c:extLst>
            <c:ext xmlns:c16="http://schemas.microsoft.com/office/drawing/2014/chart" uri="{C3380CC4-5D6E-409C-BE32-E72D297353CC}">
              <c16:uniqueId val="{00000004-94E4-47B1-A55A-D5E3E750F60C}"/>
            </c:ext>
          </c:extLst>
        </c:ser>
        <c:ser>
          <c:idx val="5"/>
          <c:order val="5"/>
          <c:tx>
            <c:strRef>
              <c:f>'Digital nomad city data'!$G$1</c:f>
              <c:strCache>
                <c:ptCount val="1"/>
                <c:pt idx="0">
                  <c:v>Sunshine hours per year</c:v>
                </c:pt>
              </c:strCache>
            </c:strRef>
          </c:tx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data'!$G$2:$G$31</c:f>
              <c:numCache>
                <c:formatCode>#,##0</c:formatCode>
                <c:ptCount val="30"/>
                <c:pt idx="0">
                  <c:v>2769</c:v>
                </c:pt>
                <c:pt idx="1">
                  <c:v>2591</c:v>
                </c:pt>
                <c:pt idx="2">
                  <c:v>2806</c:v>
                </c:pt>
                <c:pt idx="3">
                  <c:v>1988</c:v>
                </c:pt>
                <c:pt idx="4">
                  <c:v>1668</c:v>
                </c:pt>
                <c:pt idx="5">
                  <c:v>2473</c:v>
                </c:pt>
                <c:pt idx="6">
                  <c:v>2773</c:v>
                </c:pt>
                <c:pt idx="7">
                  <c:v>1915</c:v>
                </c:pt>
                <c:pt idx="8">
                  <c:v>1571</c:v>
                </c:pt>
                <c:pt idx="9">
                  <c:v>1626</c:v>
                </c:pt>
                <c:pt idx="10">
                  <c:v>1884</c:v>
                </c:pt>
                <c:pt idx="11">
                  <c:v>1402</c:v>
                </c:pt>
                <c:pt idx="12">
                  <c:v>1546</c:v>
                </c:pt>
                <c:pt idx="13">
                  <c:v>1662</c:v>
                </c:pt>
                <c:pt idx="14">
                  <c:v>2780</c:v>
                </c:pt>
                <c:pt idx="15">
                  <c:v>2468</c:v>
                </c:pt>
                <c:pt idx="16">
                  <c:v>2551</c:v>
                </c:pt>
                <c:pt idx="17">
                  <c:v>1662</c:v>
                </c:pt>
                <c:pt idx="18">
                  <c:v>1662</c:v>
                </c:pt>
                <c:pt idx="19">
                  <c:v>1633</c:v>
                </c:pt>
                <c:pt idx="20">
                  <c:v>1780</c:v>
                </c:pt>
                <c:pt idx="21">
                  <c:v>2670</c:v>
                </c:pt>
                <c:pt idx="22">
                  <c:v>1549</c:v>
                </c:pt>
                <c:pt idx="23">
                  <c:v>1453</c:v>
                </c:pt>
                <c:pt idx="24">
                  <c:v>1912</c:v>
                </c:pt>
                <c:pt idx="25">
                  <c:v>1668</c:v>
                </c:pt>
                <c:pt idx="26">
                  <c:v>1803</c:v>
                </c:pt>
                <c:pt idx="27">
                  <c:v>1858</c:v>
                </c:pt>
                <c:pt idx="28">
                  <c:v>1427</c:v>
                </c:pt>
                <c:pt idx="29">
                  <c:v>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4-47B1-A55A-D5E3E750F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86438"/>
        <c:axId val="264452327"/>
      </c:barChart>
      <c:catAx>
        <c:axId val="11568643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264452327"/>
        <c:crosses val="autoZero"/>
        <c:auto val="1"/>
        <c:lblAlgn val="ctr"/>
        <c:lblOffset val="100"/>
        <c:noMultiLvlLbl val="1"/>
      </c:catAx>
      <c:valAx>
        <c:axId val="26445232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Sunshine hours per year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11568643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Avg. annual rainfall (mm)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'Digital nomad city data'!$H$1</c:f>
              <c:strCache>
                <c:ptCount val="1"/>
                <c:pt idx="0">
                  <c:v>Avg. annual rainfall (mm)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data'!$H$2:$H$31</c:f>
              <c:numCache>
                <c:formatCode>#,##0</c:formatCode>
                <c:ptCount val="30"/>
                <c:pt idx="0">
                  <c:v>423</c:v>
                </c:pt>
                <c:pt idx="1">
                  <c:v>588</c:v>
                </c:pt>
                <c:pt idx="2">
                  <c:v>774</c:v>
                </c:pt>
                <c:pt idx="3">
                  <c:v>532</c:v>
                </c:pt>
                <c:pt idx="4">
                  <c:v>587</c:v>
                </c:pt>
                <c:pt idx="5">
                  <c:v>798.5</c:v>
                </c:pt>
                <c:pt idx="6">
                  <c:v>433.1</c:v>
                </c:pt>
                <c:pt idx="7">
                  <c:v>1162</c:v>
                </c:pt>
                <c:pt idx="8">
                  <c:v>529</c:v>
                </c:pt>
                <c:pt idx="9">
                  <c:v>515.20000000000005</c:v>
                </c:pt>
                <c:pt idx="10">
                  <c:v>651</c:v>
                </c:pt>
                <c:pt idx="11">
                  <c:v>675</c:v>
                </c:pt>
                <c:pt idx="12">
                  <c:v>848</c:v>
                </c:pt>
                <c:pt idx="13">
                  <c:v>637.4</c:v>
                </c:pt>
                <c:pt idx="14">
                  <c:v>1007</c:v>
                </c:pt>
                <c:pt idx="15">
                  <c:v>1237</c:v>
                </c:pt>
                <c:pt idx="16">
                  <c:v>740</c:v>
                </c:pt>
                <c:pt idx="17">
                  <c:v>629</c:v>
                </c:pt>
                <c:pt idx="18">
                  <c:v>838.2</c:v>
                </c:pt>
                <c:pt idx="19">
                  <c:v>601.70000000000005</c:v>
                </c:pt>
                <c:pt idx="20">
                  <c:v>950</c:v>
                </c:pt>
                <c:pt idx="21">
                  <c:v>1120</c:v>
                </c:pt>
                <c:pt idx="22">
                  <c:v>1150</c:v>
                </c:pt>
                <c:pt idx="23">
                  <c:v>758</c:v>
                </c:pt>
                <c:pt idx="24">
                  <c:v>645.70000000000005</c:v>
                </c:pt>
                <c:pt idx="25">
                  <c:v>802.7</c:v>
                </c:pt>
                <c:pt idx="26">
                  <c:v>912.2</c:v>
                </c:pt>
                <c:pt idx="27">
                  <c:v>655</c:v>
                </c:pt>
                <c:pt idx="28">
                  <c:v>704.3</c:v>
                </c:pt>
                <c:pt idx="29">
                  <c:v>843.3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169-4999-BC0A-C30C5163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87935"/>
        <c:axId val="59619703"/>
      </c:barChart>
      <c:catAx>
        <c:axId val="53108793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59619703"/>
        <c:crosses val="autoZero"/>
        <c:auto val="1"/>
        <c:lblAlgn val="ctr"/>
        <c:lblOffset val="100"/>
        <c:noMultiLvlLbl val="1"/>
      </c:catAx>
      <c:valAx>
        <c:axId val="5961970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Avg. annual rainfall (mm) 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53108793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Safety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'Digital nomad city data'!$A$1</c:f>
              <c:strCache>
                <c:ptCount val="1"/>
                <c:pt idx="0">
                  <c:v>City</c:v>
                </c:pt>
              </c:strCache>
            </c:strRef>
          </c:tx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data'!$A$2:$A$31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C-4A62-BC01-C5D264749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614532"/>
        <c:axId val="1025297867"/>
      </c:barChart>
      <c:catAx>
        <c:axId val="38761453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1025297867"/>
        <c:crosses val="autoZero"/>
        <c:auto val="1"/>
        <c:lblAlgn val="ctr"/>
        <c:lblOffset val="100"/>
        <c:noMultiLvlLbl val="1"/>
      </c:catAx>
      <c:valAx>
        <c:axId val="1025297867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38761453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Crime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'Digital nomad city data'!$A$1</c:f>
              <c:strCache>
                <c:ptCount val="1"/>
                <c:pt idx="0">
                  <c:v>City</c:v>
                </c:pt>
              </c:strCache>
            </c:strRef>
          </c:tx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data'!$A$2:$A$31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A-433F-847C-3BC89B415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2809"/>
        <c:axId val="1165671736"/>
      </c:barChart>
      <c:catAx>
        <c:axId val="9099280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1165671736"/>
        <c:crosses val="autoZero"/>
        <c:auto val="1"/>
        <c:lblAlgn val="ctr"/>
        <c:lblOffset val="100"/>
        <c:noMultiLvlLbl val="1"/>
      </c:catAx>
      <c:valAx>
        <c:axId val="116567173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9099280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Avg. Internet speed (Mbps)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'Digital nomad city data'!$R$1</c:f>
              <c:strCache>
                <c:ptCount val="1"/>
                <c:pt idx="0">
                  <c:v>Avg. Internet speed (Mbps)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data'!$R$2:$R$31</c:f>
              <c:numCache>
                <c:formatCode>General</c:formatCode>
                <c:ptCount val="30"/>
                <c:pt idx="0">
                  <c:v>98</c:v>
                </c:pt>
                <c:pt idx="1">
                  <c:v>94</c:v>
                </c:pt>
                <c:pt idx="2">
                  <c:v>110</c:v>
                </c:pt>
                <c:pt idx="3">
                  <c:v>102</c:v>
                </c:pt>
                <c:pt idx="4">
                  <c:v>59</c:v>
                </c:pt>
                <c:pt idx="5">
                  <c:v>41</c:v>
                </c:pt>
                <c:pt idx="6">
                  <c:v>39</c:v>
                </c:pt>
                <c:pt idx="7">
                  <c:v>53</c:v>
                </c:pt>
                <c:pt idx="8">
                  <c:v>41</c:v>
                </c:pt>
                <c:pt idx="9">
                  <c:v>48</c:v>
                </c:pt>
                <c:pt idx="10">
                  <c:v>61</c:v>
                </c:pt>
                <c:pt idx="11">
                  <c:v>42</c:v>
                </c:pt>
                <c:pt idx="12">
                  <c:v>58</c:v>
                </c:pt>
                <c:pt idx="13">
                  <c:v>52</c:v>
                </c:pt>
                <c:pt idx="14">
                  <c:v>17</c:v>
                </c:pt>
                <c:pt idx="15">
                  <c:v>94</c:v>
                </c:pt>
                <c:pt idx="16">
                  <c:v>63</c:v>
                </c:pt>
                <c:pt idx="17">
                  <c:v>57</c:v>
                </c:pt>
                <c:pt idx="18">
                  <c:v>103</c:v>
                </c:pt>
                <c:pt idx="19">
                  <c:v>94</c:v>
                </c:pt>
                <c:pt idx="20">
                  <c:v>51</c:v>
                </c:pt>
                <c:pt idx="21">
                  <c:v>23</c:v>
                </c:pt>
                <c:pt idx="22">
                  <c:v>43</c:v>
                </c:pt>
                <c:pt idx="23">
                  <c:v>87</c:v>
                </c:pt>
                <c:pt idx="24">
                  <c:v>90</c:v>
                </c:pt>
                <c:pt idx="25">
                  <c:v>69</c:v>
                </c:pt>
                <c:pt idx="26">
                  <c:v>36</c:v>
                </c:pt>
                <c:pt idx="27">
                  <c:v>70</c:v>
                </c:pt>
                <c:pt idx="28">
                  <c:v>52</c:v>
                </c:pt>
                <c:pt idx="29">
                  <c:v>102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587-4228-8DAF-479D68245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266214"/>
        <c:axId val="689063038"/>
      </c:barChart>
      <c:catAx>
        <c:axId val="176626621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689063038"/>
        <c:crosses val="autoZero"/>
        <c:auto val="1"/>
        <c:lblAlgn val="ctr"/>
        <c:lblOffset val="100"/>
        <c:noMultiLvlLbl val="1"/>
      </c:catAx>
      <c:valAx>
        <c:axId val="68906303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Avg. Internet speed (Mbps)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176626621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Number of Michelin Guide restaurants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'Digital nomad city data'!$AL$1</c:f>
              <c:strCache>
                <c:ptCount val="1"/>
                <c:pt idx="0">
                  <c:v>Number of Michelin Guide restaurants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data'!$AL$2:$AL$31</c:f>
              <c:numCache>
                <c:formatCode>General</c:formatCode>
                <c:ptCount val="30"/>
                <c:pt idx="0">
                  <c:v>127</c:v>
                </c:pt>
                <c:pt idx="1">
                  <c:v>66</c:v>
                </c:pt>
                <c:pt idx="2">
                  <c:v>37</c:v>
                </c:pt>
                <c:pt idx="3">
                  <c:v>20</c:v>
                </c:pt>
                <c:pt idx="4">
                  <c:v>27</c:v>
                </c:pt>
                <c:pt idx="5">
                  <c:v>65</c:v>
                </c:pt>
                <c:pt idx="6">
                  <c:v>21</c:v>
                </c:pt>
                <c:pt idx="7">
                  <c:v>93</c:v>
                </c:pt>
                <c:pt idx="8">
                  <c:v>13</c:v>
                </c:pt>
                <c:pt idx="9">
                  <c:v>74</c:v>
                </c:pt>
                <c:pt idx="10">
                  <c:v>54</c:v>
                </c:pt>
                <c:pt idx="11">
                  <c:v>18</c:v>
                </c:pt>
                <c:pt idx="12">
                  <c:v>37</c:v>
                </c:pt>
                <c:pt idx="13">
                  <c:v>426</c:v>
                </c:pt>
                <c:pt idx="14">
                  <c:v>0</c:v>
                </c:pt>
                <c:pt idx="15">
                  <c:v>16</c:v>
                </c:pt>
                <c:pt idx="16">
                  <c:v>27</c:v>
                </c:pt>
                <c:pt idx="17">
                  <c:v>22</c:v>
                </c:pt>
                <c:pt idx="18">
                  <c:v>93</c:v>
                </c:pt>
                <c:pt idx="19">
                  <c:v>363</c:v>
                </c:pt>
                <c:pt idx="20">
                  <c:v>61</c:v>
                </c:pt>
                <c:pt idx="21">
                  <c:v>10</c:v>
                </c:pt>
                <c:pt idx="22">
                  <c:v>7</c:v>
                </c:pt>
                <c:pt idx="23">
                  <c:v>33</c:v>
                </c:pt>
                <c:pt idx="24">
                  <c:v>62</c:v>
                </c:pt>
                <c:pt idx="25">
                  <c:v>37</c:v>
                </c:pt>
                <c:pt idx="26">
                  <c:v>43</c:v>
                </c:pt>
                <c:pt idx="27">
                  <c:v>26</c:v>
                </c:pt>
                <c:pt idx="28">
                  <c:v>21</c:v>
                </c:pt>
                <c:pt idx="29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3DC-487C-BD3A-AD5833502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703701"/>
        <c:axId val="508749764"/>
      </c:barChart>
      <c:catAx>
        <c:axId val="33270370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508749764"/>
        <c:crosses val="autoZero"/>
        <c:auto val="1"/>
        <c:lblAlgn val="ctr"/>
        <c:lblOffset val="100"/>
        <c:noMultiLvlLbl val="1"/>
      </c:catAx>
      <c:valAx>
        <c:axId val="5087497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Number of Michelin Guide restaurants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332703701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Co-working spaces (WeWork)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'Digital nomad city data'!$AN$1</c:f>
              <c:strCache>
                <c:ptCount val="1"/>
                <c:pt idx="0">
                  <c:v>Co-working spaces (WeWork)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'Digital nomad city data'!$A$2:$A$31</c:f>
              <c:strCache>
                <c:ptCount val="30"/>
                <c:pt idx="0">
                  <c:v>Madrid, Spain</c:v>
                </c:pt>
                <c:pt idx="1">
                  <c:v>Barcelona, Spain</c:v>
                </c:pt>
                <c:pt idx="2">
                  <c:v>Lisbon, Portugal</c:v>
                </c:pt>
                <c:pt idx="3">
                  <c:v>Budapest, Hungary</c:v>
                </c:pt>
                <c:pt idx="4">
                  <c:v>Prague, Czech Republic</c:v>
                </c:pt>
                <c:pt idx="5">
                  <c:v>Rome, Italy</c:v>
                </c:pt>
                <c:pt idx="6">
                  <c:v>Athens, Greece</c:v>
                </c:pt>
                <c:pt idx="7">
                  <c:v>Milan, Italy</c:v>
                </c:pt>
                <c:pt idx="8">
                  <c:v>Warsaw, Poland</c:v>
                </c:pt>
                <c:pt idx="9">
                  <c:v>Berlin, Germany</c:v>
                </c:pt>
                <c:pt idx="10">
                  <c:v>Vienna, Austria</c:v>
                </c:pt>
                <c:pt idx="11">
                  <c:v>Kraków, Poland</c:v>
                </c:pt>
                <c:pt idx="12">
                  <c:v>Brussels, Belgium</c:v>
                </c:pt>
                <c:pt idx="13">
                  <c:v>Paris, France</c:v>
                </c:pt>
                <c:pt idx="14">
                  <c:v>Rhodes, Greece</c:v>
                </c:pt>
                <c:pt idx="15">
                  <c:v>Porto, Portugal</c:v>
                </c:pt>
                <c:pt idx="16">
                  <c:v>Nice, France</c:v>
                </c:pt>
                <c:pt idx="17">
                  <c:v>Frankfurt, Germany</c:v>
                </c:pt>
                <c:pt idx="18">
                  <c:v>Amsterdam, Netherlands</c:v>
                </c:pt>
                <c:pt idx="19">
                  <c:v>London, England</c:v>
                </c:pt>
                <c:pt idx="20">
                  <c:v>Munich, Germany</c:v>
                </c:pt>
                <c:pt idx="21">
                  <c:v>Dubrovnik, Croatia</c:v>
                </c:pt>
                <c:pt idx="22">
                  <c:v>Cardiff, Wales</c:v>
                </c:pt>
                <c:pt idx="23">
                  <c:v>Dublin, Ireland</c:v>
                </c:pt>
                <c:pt idx="24">
                  <c:v>Copenhagen, Denmark</c:v>
                </c:pt>
                <c:pt idx="25">
                  <c:v>Oslo, Norway</c:v>
                </c:pt>
                <c:pt idx="26">
                  <c:v>Stockholm, Sweden</c:v>
                </c:pt>
                <c:pt idx="27">
                  <c:v>Helsinki, Finland</c:v>
                </c:pt>
                <c:pt idx="28">
                  <c:v>Edinburgh, Scotland</c:v>
                </c:pt>
                <c:pt idx="29">
                  <c:v>Reykjavik, Iceland</c:v>
                </c:pt>
              </c:strCache>
            </c:strRef>
          </c:cat>
          <c:val>
            <c:numRef>
              <c:f>'Digital nomad city data'!$AN$2:$AN$31</c:f>
              <c:numCache>
                <c:formatCode>General</c:formatCode>
                <c:ptCount val="30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5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51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0CB-4567-BC67-760446F3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373120"/>
        <c:axId val="1876115766"/>
      </c:barChart>
      <c:catAx>
        <c:axId val="126637312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1876115766"/>
        <c:crosses val="autoZero"/>
        <c:auto val="1"/>
        <c:lblAlgn val="ctr"/>
        <c:lblOffset val="100"/>
        <c:noMultiLvlLbl val="1"/>
      </c:catAx>
      <c:valAx>
        <c:axId val="187611576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Co-working spaces (WeWork)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126637312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933450</xdr:colOff>
      <xdr:row>0</xdr:row>
      <xdr:rowOff>190500</xdr:rowOff>
    </xdr:from>
    <xdr:ext cx="11544300" cy="71247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933450</xdr:colOff>
      <xdr:row>296</xdr:row>
      <xdr:rowOff>19050</xdr:rowOff>
    </xdr:from>
    <xdr:ext cx="11544300" cy="71818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933450</xdr:colOff>
      <xdr:row>333</xdr:row>
      <xdr:rowOff>28575</xdr:rowOff>
    </xdr:from>
    <xdr:ext cx="11544300" cy="71247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933450</xdr:colOff>
      <xdr:row>369</xdr:row>
      <xdr:rowOff>180975</xdr:rowOff>
    </xdr:from>
    <xdr:ext cx="11544300" cy="712470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933450</xdr:colOff>
      <xdr:row>406</xdr:row>
      <xdr:rowOff>133350</xdr:rowOff>
    </xdr:from>
    <xdr:ext cx="11544300" cy="712470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933450</xdr:colOff>
      <xdr:row>443</xdr:row>
      <xdr:rowOff>95250</xdr:rowOff>
    </xdr:from>
    <xdr:ext cx="11544300" cy="712470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933450</xdr:colOff>
      <xdr:row>480</xdr:row>
      <xdr:rowOff>85725</xdr:rowOff>
    </xdr:from>
    <xdr:ext cx="11544300" cy="712470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0</xdr:col>
      <xdr:colOff>933450</xdr:colOff>
      <xdr:row>517</xdr:row>
      <xdr:rowOff>142875</xdr:rowOff>
    </xdr:from>
    <xdr:ext cx="11544300" cy="712470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udgetyourtrip.com/budgetreportadv.php?country_code=&amp;startdate=&amp;enddate=&amp;categoryid=&amp;budgettype=&amp;triptype=&amp;travelerno=&amp;geonameid=658225" TargetMode="External"/><Relationship Id="rId21" Type="http://schemas.openxmlformats.org/officeDocument/2006/relationships/hyperlink" Target="https://countryeconomy.com/demography/world-happiness-index/hungary" TargetMode="External"/><Relationship Id="rId42" Type="http://schemas.openxmlformats.org/officeDocument/2006/relationships/hyperlink" Target="https://housinganywhere.com/Berlin--Germany/cost-of-living-berlin" TargetMode="External"/><Relationship Id="rId63" Type="http://schemas.openxmlformats.org/officeDocument/2006/relationships/hyperlink" Target="https://www.budgetyourtrip.com/budgetreportadv.php?country_code=&amp;startdate=&amp;enddate=&amp;categoryid=&amp;budgettype=&amp;triptype=&amp;travelerno=&amp;geonameid=400666" TargetMode="External"/><Relationship Id="rId84" Type="http://schemas.openxmlformats.org/officeDocument/2006/relationships/hyperlink" Target="https://www.europelanguagejobs.com/blog/10-happiest-cities-in-europe.php" TargetMode="External"/><Relationship Id="rId138" Type="http://schemas.openxmlformats.org/officeDocument/2006/relationships/hyperlink" Target="https://countryeconomy.com/demography/world-happiness-index/hungary" TargetMode="External"/><Relationship Id="rId159" Type="http://schemas.openxmlformats.org/officeDocument/2006/relationships/hyperlink" Target="https://www.expat-quotes.com/guides/ireland/education/international-schools-in-ireland.htm" TargetMode="External"/><Relationship Id="rId107" Type="http://schemas.openxmlformats.org/officeDocument/2006/relationships/hyperlink" Target="https://www.budgetyourtrip.com/budgetreportadv.php?country_code=&amp;startdate=&amp;enddate=&amp;categoryid=&amp;budgettype=&amp;triptype=&amp;travelerno=&amp;geonameid=2618425" TargetMode="External"/><Relationship Id="rId11" Type="http://schemas.openxmlformats.org/officeDocument/2006/relationships/hyperlink" Target="https://www.finder.com/uk/international-pint-price-map" TargetMode="External"/><Relationship Id="rId32" Type="http://schemas.openxmlformats.org/officeDocument/2006/relationships/hyperlink" Target="https://www.speedtest.net/global-index/greece" TargetMode="External"/><Relationship Id="rId53" Type="http://schemas.openxmlformats.org/officeDocument/2006/relationships/hyperlink" Target="https://www.internationalschoolguide.com/poland/krakow/index.htm" TargetMode="External"/><Relationship Id="rId74" Type="http://schemas.openxmlformats.org/officeDocument/2006/relationships/hyperlink" Target="https://www.budgetyourtrip.com/budgetreportadv.php?country_code=&amp;startdate=&amp;enddate=&amp;categoryid=&amp;budgettype=&amp;triptype=&amp;travelerno=&amp;geonameid=2990440" TargetMode="External"/><Relationship Id="rId128" Type="http://schemas.openxmlformats.org/officeDocument/2006/relationships/hyperlink" Target="https://interrelo.com/expat-guide-cost-of-living-budapest/" TargetMode="External"/><Relationship Id="rId149" Type="http://schemas.openxmlformats.org/officeDocument/2006/relationships/hyperlink" Target="https://www.speedtest.net/" TargetMode="External"/><Relationship Id="rId5" Type="http://schemas.openxmlformats.org/officeDocument/2006/relationships/hyperlink" Target="https://www.ivisa.com/visa-blog/the-happiest-cities-to-travel-to" TargetMode="External"/><Relationship Id="rId95" Type="http://schemas.openxmlformats.org/officeDocument/2006/relationships/hyperlink" Target="https://www.budgetyourtrip.com/budgetreportadv.php?country_code=&amp;startdate=&amp;enddate=&amp;categoryid=&amp;budgettype=&amp;triptype=&amp;travelerno=&amp;geonameid=3201047" TargetMode="External"/><Relationship Id="rId160" Type="http://schemas.openxmlformats.org/officeDocument/2006/relationships/hyperlink" Target="http://www.internationalschoolguide.com/scotland/edinburgh/index.htm" TargetMode="External"/><Relationship Id="rId22" Type="http://schemas.openxmlformats.org/officeDocument/2006/relationships/hyperlink" Target="http://www.bmbah.hu/index.php?option=com_k2&amp;view=item&amp;layout=item&amp;id=62&amp;Itemid=816&amp;lang=en" TargetMode="External"/><Relationship Id="rId43" Type="http://schemas.openxmlformats.org/officeDocument/2006/relationships/hyperlink" Target="https://housinganywhere.com/Berlin--Germany/cost-of-living-berlin" TargetMode="External"/><Relationship Id="rId64" Type="http://schemas.openxmlformats.org/officeDocument/2006/relationships/hyperlink" Target="https://www.budgetyourtrip.com/greece/rhodes" TargetMode="External"/><Relationship Id="rId118" Type="http://schemas.openxmlformats.org/officeDocument/2006/relationships/hyperlink" Target="https://www.internationalschoolguide.com/finland/helsinki/index.htm" TargetMode="External"/><Relationship Id="rId139" Type="http://schemas.openxmlformats.org/officeDocument/2006/relationships/hyperlink" Target="https://www.insider.co.uk/news/edinburgh-ranks-worlds-top-20-21626388" TargetMode="External"/><Relationship Id="rId85" Type="http://schemas.openxmlformats.org/officeDocument/2006/relationships/hyperlink" Target="https://www.internations.org/germany-expats/guide/visas-work-permits" TargetMode="External"/><Relationship Id="rId150" Type="http://schemas.openxmlformats.org/officeDocument/2006/relationships/hyperlink" Target="https://www.prijsvergelijken.nl/" TargetMode="External"/><Relationship Id="rId12" Type="http://schemas.openxmlformats.org/officeDocument/2006/relationships/hyperlink" Target="https://www.statista.com/statistics/716760/independent-coffee-shops-average-price-in-europe-by-city/" TargetMode="External"/><Relationship Id="rId17" Type="http://schemas.openxmlformats.org/officeDocument/2006/relationships/hyperlink" Target="https://housinganywhere.com/Spain/spain-work-visa" TargetMode="External"/><Relationship Id="rId33" Type="http://schemas.openxmlformats.org/officeDocument/2006/relationships/hyperlink" Target="https://en-climate--data-org.webpkgcache.com/doc/-/s/en.climate-data.org/europe/italy/lombardy/milan-1094/" TargetMode="External"/><Relationship Id="rId38" Type="http://schemas.openxmlformats.org/officeDocument/2006/relationships/hyperlink" Target="https://visaguide.world/europe/poland-visa/long-stay/work-visa/" TargetMode="External"/><Relationship Id="rId59" Type="http://schemas.openxmlformats.org/officeDocument/2006/relationships/hyperlink" Target="https://countryeconomy.com/demography/world-happiness-index/greece" TargetMode="External"/><Relationship Id="rId103" Type="http://schemas.openxmlformats.org/officeDocument/2006/relationships/hyperlink" Target="https://www.speedtest.net/performance/ireland/dublin" TargetMode="External"/><Relationship Id="rId108" Type="http://schemas.openxmlformats.org/officeDocument/2006/relationships/hyperlink" Target="https://visaguide.world/europe/norway-visa/work-visa" TargetMode="External"/><Relationship Id="rId124" Type="http://schemas.openxmlformats.org/officeDocument/2006/relationships/hyperlink" Target="https://visaguide.world/europe/iceland-visa/fees/" TargetMode="External"/><Relationship Id="rId129" Type="http://schemas.openxmlformats.org/officeDocument/2006/relationships/hyperlink" Target="https://housinganywhere.com/" TargetMode="External"/><Relationship Id="rId54" Type="http://schemas.openxmlformats.org/officeDocument/2006/relationships/hyperlink" Target="https://visaguide.world/europe/belgium-visa/long-stay/work-visa/" TargetMode="External"/><Relationship Id="rId70" Type="http://schemas.openxmlformats.org/officeDocument/2006/relationships/hyperlink" Target="https://www.climatestotravel.com/climate/france/nice" TargetMode="External"/><Relationship Id="rId75" Type="http://schemas.openxmlformats.org/officeDocument/2006/relationships/hyperlink" Target="https://www.internationalschoolguide.com/france/nice/index.htm" TargetMode="External"/><Relationship Id="rId91" Type="http://schemas.openxmlformats.org/officeDocument/2006/relationships/hyperlink" Target="https://www.speedtest.net/performance/croatia/dubrovnik-neretva-county/dubrovnik" TargetMode="External"/><Relationship Id="rId96" Type="http://schemas.openxmlformats.org/officeDocument/2006/relationships/hyperlink" Target="https://livingcost.org/cost/croatia/dubrovnik" TargetMode="External"/><Relationship Id="rId140" Type="http://schemas.openxmlformats.org/officeDocument/2006/relationships/hyperlink" Target="https://www.europelanguagejobs.com/blog/10-happiest-cities-in-europe.php" TargetMode="External"/><Relationship Id="rId145" Type="http://schemas.openxmlformats.org/officeDocument/2006/relationships/hyperlink" Target="https://weather-and-climate.com/" TargetMode="External"/><Relationship Id="rId161" Type="http://schemas.openxmlformats.org/officeDocument/2006/relationships/hyperlink" Target="https://www.tripadvisor.co.uk/" TargetMode="External"/><Relationship Id="rId1" Type="http://schemas.openxmlformats.org/officeDocument/2006/relationships/hyperlink" Target="https://en.wikipedia.org/wiki/List_of_cities_by_sunshine_duration" TargetMode="External"/><Relationship Id="rId6" Type="http://schemas.openxmlformats.org/officeDocument/2006/relationships/hyperlink" Target="https://fairinternetreport.com/" TargetMode="External"/><Relationship Id="rId23" Type="http://schemas.openxmlformats.org/officeDocument/2006/relationships/hyperlink" Target="https://www.speedtest.net/global-index/hungary" TargetMode="External"/><Relationship Id="rId28" Type="http://schemas.openxmlformats.org/officeDocument/2006/relationships/hyperlink" Target="https://www.speedtest.net/global-index/czechia" TargetMode="External"/><Relationship Id="rId49" Type="http://schemas.openxmlformats.org/officeDocument/2006/relationships/hyperlink" Target="https://countryeconomy.com/demography/world-happiness-index/poland" TargetMode="External"/><Relationship Id="rId114" Type="http://schemas.openxmlformats.org/officeDocument/2006/relationships/hyperlink" Target="https://www.budgetyourtrip.com/budgetreportadv.php?country_code=&amp;startdate=&amp;enddate=&amp;categoryid=&amp;budgettype=&amp;triptype=&amp;travelerno=&amp;geonameid=2673730" TargetMode="External"/><Relationship Id="rId119" Type="http://schemas.openxmlformats.org/officeDocument/2006/relationships/hyperlink" Target="https://www.insider.co.uk/news/edinburgh-ranks-worlds-top-20-21626388" TargetMode="External"/><Relationship Id="rId44" Type="http://schemas.openxmlformats.org/officeDocument/2006/relationships/hyperlink" Target="https://housinganywhere.com/Berlin--Germany/cost-of-living-berlin" TargetMode="External"/><Relationship Id="rId60" Type="http://schemas.openxmlformats.org/officeDocument/2006/relationships/hyperlink" Target="https://www.gov.uk/guidance/travel-to-greece-for-work" TargetMode="External"/><Relationship Id="rId65" Type="http://schemas.openxmlformats.org/officeDocument/2006/relationships/hyperlink" Target="https://countryeconomy.com/demography/world-happiness-index/portugal" TargetMode="External"/><Relationship Id="rId81" Type="http://schemas.openxmlformats.org/officeDocument/2006/relationships/hyperlink" Target="https://www.gov.uk/skilled-worker-visa/how-much-it-costs" TargetMode="External"/><Relationship Id="rId86" Type="http://schemas.openxmlformats.org/officeDocument/2006/relationships/hyperlink" Target="https://www.budgetyourtrip.com/germany/munich" TargetMode="External"/><Relationship Id="rId130" Type="http://schemas.openxmlformats.org/officeDocument/2006/relationships/hyperlink" Target="https://www.budgetyourtrip.com/" TargetMode="External"/><Relationship Id="rId135" Type="http://schemas.openxmlformats.org/officeDocument/2006/relationships/hyperlink" Target="https://worldhappiness.report/ed/2020/cities-and-happiness-a-global-ranking-and-analysis/" TargetMode="External"/><Relationship Id="rId151" Type="http://schemas.openxmlformats.org/officeDocument/2006/relationships/hyperlink" Target="https://testmy.net/" TargetMode="External"/><Relationship Id="rId156" Type="http://schemas.openxmlformats.org/officeDocument/2006/relationships/hyperlink" Target="https://www.wework.com/" TargetMode="External"/><Relationship Id="rId13" Type="http://schemas.openxmlformats.org/officeDocument/2006/relationships/hyperlink" Target="https://guide.michelin.com/gb/en" TargetMode="External"/><Relationship Id="rId18" Type="http://schemas.openxmlformats.org/officeDocument/2006/relationships/hyperlink" Target="https://housinganywhere.com/Spain/spain-work-visa" TargetMode="External"/><Relationship Id="rId39" Type="http://schemas.openxmlformats.org/officeDocument/2006/relationships/hyperlink" Target="https://www.speedtest.net/global-index/poland" TargetMode="External"/><Relationship Id="rId109" Type="http://schemas.openxmlformats.org/officeDocument/2006/relationships/hyperlink" Target="https://www.broadbandspeedchecker.co.uk/isp-directory/Norway/Oslo.html" TargetMode="External"/><Relationship Id="rId34" Type="http://schemas.openxmlformats.org/officeDocument/2006/relationships/hyperlink" Target="https://countryeconomy.com/demography/world-happiness-index/italy" TargetMode="External"/><Relationship Id="rId50" Type="http://schemas.openxmlformats.org/officeDocument/2006/relationships/hyperlink" Target="https://visaguide.world/europe/poland-visa/long-stay/work-visa/" TargetMode="External"/><Relationship Id="rId55" Type="http://schemas.openxmlformats.org/officeDocument/2006/relationships/hyperlink" Target="https://www.speedtest.net/global-index/belgium" TargetMode="External"/><Relationship Id="rId76" Type="http://schemas.openxmlformats.org/officeDocument/2006/relationships/hyperlink" Target="https://teleport.org/cities/frankfurt/" TargetMode="External"/><Relationship Id="rId97" Type="http://schemas.openxmlformats.org/officeDocument/2006/relationships/hyperlink" Target="https://www.currentresults.com/Weather/United-Kingdom/annual-sunshine.php" TargetMode="External"/><Relationship Id="rId104" Type="http://schemas.openxmlformats.org/officeDocument/2006/relationships/hyperlink" Target="https://www.expat-quotes.com/guides/ireland/education/international-schools-in-ireland.htm" TargetMode="External"/><Relationship Id="rId120" Type="http://schemas.openxmlformats.org/officeDocument/2006/relationships/hyperlink" Target="https://www.gov.uk/skilled-worker-visa/how-much-it-costs" TargetMode="External"/><Relationship Id="rId125" Type="http://schemas.openxmlformats.org/officeDocument/2006/relationships/hyperlink" Target="https://testmy.net/country/is/cities" TargetMode="External"/><Relationship Id="rId141" Type="http://schemas.openxmlformats.org/officeDocument/2006/relationships/hyperlink" Target="https://teleport.org/cities/nice/" TargetMode="External"/><Relationship Id="rId146" Type="http://schemas.openxmlformats.org/officeDocument/2006/relationships/hyperlink" Target="https://en-climate--data-org.webpkgcache.com/doc/-/s/en.climate-data.org/europe/italy/lombardy/milan-1094/" TargetMode="External"/><Relationship Id="rId7" Type="http://schemas.openxmlformats.org/officeDocument/2006/relationships/hyperlink" Target="https://www.expatistan.com/cost-of-living/index" TargetMode="External"/><Relationship Id="rId71" Type="http://schemas.openxmlformats.org/officeDocument/2006/relationships/hyperlink" Target="https://teleport.org/cities/nice/" TargetMode="External"/><Relationship Id="rId92" Type="http://schemas.openxmlformats.org/officeDocument/2006/relationships/hyperlink" Target="https://costoflive.com/cost-of-living/in/dubrovnik" TargetMode="External"/><Relationship Id="rId2" Type="http://schemas.openxmlformats.org/officeDocument/2006/relationships/hyperlink" Target="https://en.wikipedia.org/wiki/List_of_cities_in_Europe_by_precipitation" TargetMode="External"/><Relationship Id="rId29" Type="http://schemas.openxmlformats.org/officeDocument/2006/relationships/hyperlink" Target="https://www.hospitalitynet.org/performance/4061428.html" TargetMode="External"/><Relationship Id="rId24" Type="http://schemas.openxmlformats.org/officeDocument/2006/relationships/hyperlink" Target="https://interrelo.com/expat-guide-cost-of-living-budapest/" TargetMode="External"/><Relationship Id="rId40" Type="http://schemas.openxmlformats.org/officeDocument/2006/relationships/hyperlink" Target="https://www.iamexpat.de/lifestyle/lifestyle-news/nicht-glucklich-germany-drops-down-ranking-world-happiness-report" TargetMode="External"/><Relationship Id="rId45" Type="http://schemas.openxmlformats.org/officeDocument/2006/relationships/hyperlink" Target="https://www.internations.org/austria-expats/guide/visas-work-permits" TargetMode="External"/><Relationship Id="rId66" Type="http://schemas.openxmlformats.org/officeDocument/2006/relationships/hyperlink" Target="https://visaguide.world/europe/portugal-visa/work-visa/" TargetMode="External"/><Relationship Id="rId87" Type="http://schemas.openxmlformats.org/officeDocument/2006/relationships/hyperlink" Target="https://www.climatestotravel.com/climate/croatia/dubrovnik" TargetMode="External"/><Relationship Id="rId110" Type="http://schemas.openxmlformats.org/officeDocument/2006/relationships/hyperlink" Target="https://www.budgetyourtrip.com/budgetreportadv.php?country_code=&amp;startdate=&amp;enddate=&amp;categoryid=&amp;budgettype=&amp;triptype=&amp;travelerno=&amp;geonameid=3143244" TargetMode="External"/><Relationship Id="rId115" Type="http://schemas.openxmlformats.org/officeDocument/2006/relationships/hyperlink" Target="https://visaguide.world/europe/finland-visa/work-visa/" TargetMode="External"/><Relationship Id="rId131" Type="http://schemas.openxmlformats.org/officeDocument/2006/relationships/hyperlink" Target="https://www.expatistan.com/" TargetMode="External"/><Relationship Id="rId136" Type="http://schemas.openxmlformats.org/officeDocument/2006/relationships/hyperlink" Target="https://www.ivisa.com/visa-blog/the-happiest-cities-to-travel-to" TargetMode="External"/><Relationship Id="rId157" Type="http://schemas.openxmlformats.org/officeDocument/2006/relationships/hyperlink" Target="https://www.international-schools-database.com/" TargetMode="External"/><Relationship Id="rId61" Type="http://schemas.openxmlformats.org/officeDocument/2006/relationships/hyperlink" Target="https://testmy.net/city/rhodes_gr" TargetMode="External"/><Relationship Id="rId82" Type="http://schemas.openxmlformats.org/officeDocument/2006/relationships/hyperlink" Target="https://weather-and-climate.com/average-monthly-hours-Sunshine,munich,Germany" TargetMode="External"/><Relationship Id="rId152" Type="http://schemas.openxmlformats.org/officeDocument/2006/relationships/hyperlink" Target="https://www.broadbandspeedchecker.co.uk/" TargetMode="External"/><Relationship Id="rId19" Type="http://schemas.openxmlformats.org/officeDocument/2006/relationships/hyperlink" Target="https://visaguide.world/europe/portugal-visa/work-visa/" TargetMode="External"/><Relationship Id="rId14" Type="http://schemas.openxmlformats.org/officeDocument/2006/relationships/hyperlink" Target="https://www.wework.com/" TargetMode="External"/><Relationship Id="rId30" Type="http://schemas.openxmlformats.org/officeDocument/2006/relationships/hyperlink" Target="https://www.internations.org/italy-expats/guide/visas-work-permits" TargetMode="External"/><Relationship Id="rId35" Type="http://schemas.openxmlformats.org/officeDocument/2006/relationships/hyperlink" Target="https://www.internations.org/italy-expats/guide/visas-work-permits" TargetMode="External"/><Relationship Id="rId56" Type="http://schemas.openxmlformats.org/officeDocument/2006/relationships/hyperlink" Target="https://www.internations.org/france-expats/guide/visas-work-permits" TargetMode="External"/><Relationship Id="rId77" Type="http://schemas.openxmlformats.org/officeDocument/2006/relationships/hyperlink" Target="https://www.internations.org/germany-expats/guide/visas-work-permits" TargetMode="External"/><Relationship Id="rId100" Type="http://schemas.openxmlformats.org/officeDocument/2006/relationships/hyperlink" Target="https://www.budgetyourtrip.com/budgetreportadv.php?country_code=&amp;startdate=&amp;enddate=&amp;categoryid=&amp;budgettype=&amp;triptype=&amp;travelerno=&amp;geonameid=2653822" TargetMode="External"/><Relationship Id="rId105" Type="http://schemas.openxmlformats.org/officeDocument/2006/relationships/hyperlink" Target="https://visaguide.world/europe/denmark-visa/long-stay/work-visa/" TargetMode="External"/><Relationship Id="rId126" Type="http://schemas.openxmlformats.org/officeDocument/2006/relationships/hyperlink" Target="https://livingcost.org/" TargetMode="External"/><Relationship Id="rId147" Type="http://schemas.openxmlformats.org/officeDocument/2006/relationships/hyperlink" Target="https://www.currentresults.com/Weather/United-Kingdom/annual-sunshine.php" TargetMode="External"/><Relationship Id="rId8" Type="http://schemas.openxmlformats.org/officeDocument/2006/relationships/hyperlink" Target="https://www.expatistan.com/cost-of-living/index" TargetMode="External"/><Relationship Id="rId51" Type="http://schemas.openxmlformats.org/officeDocument/2006/relationships/hyperlink" Target="https://www.speedtest.net/global-index/poland" TargetMode="External"/><Relationship Id="rId72" Type="http://schemas.openxmlformats.org/officeDocument/2006/relationships/hyperlink" Target="https://www.internations.org/france-expats/guide/visas-work-permits" TargetMode="External"/><Relationship Id="rId93" Type="http://schemas.openxmlformats.org/officeDocument/2006/relationships/hyperlink" Target="https://costoflive.com/cost-of-living/in/dubrovnik" TargetMode="External"/><Relationship Id="rId98" Type="http://schemas.openxmlformats.org/officeDocument/2006/relationships/hyperlink" Target="https://www.climatestotravel.com/climate/united-kingdom/wales" TargetMode="External"/><Relationship Id="rId121" Type="http://schemas.openxmlformats.org/officeDocument/2006/relationships/hyperlink" Target="https://www.budgetyourtrip.com/budgetreportadv.php?country_code=&amp;startdate=&amp;enddate=&amp;categoryid=&amp;budgettype=&amp;triptype=&amp;travelerno=&amp;geonameid=2650225" TargetMode="External"/><Relationship Id="rId142" Type="http://schemas.openxmlformats.org/officeDocument/2006/relationships/hyperlink" Target="https://en.wikipedia.org/wiki/List_of_cities_by_sunshine_duration" TargetMode="External"/><Relationship Id="rId3" Type="http://schemas.openxmlformats.org/officeDocument/2006/relationships/hyperlink" Target="https://www.statista.com/statistics/1268504/homicide-rate-europe-country/" TargetMode="External"/><Relationship Id="rId25" Type="http://schemas.openxmlformats.org/officeDocument/2006/relationships/hyperlink" Target="https://www.budgetyourtrip.com/hungary/budapest" TargetMode="External"/><Relationship Id="rId46" Type="http://schemas.openxmlformats.org/officeDocument/2006/relationships/hyperlink" Target="https://www.speedtest.net/global-index/austria" TargetMode="External"/><Relationship Id="rId67" Type="http://schemas.openxmlformats.org/officeDocument/2006/relationships/hyperlink" Target="https://www.broadbandspeedchecker.co.uk/isp-directory/Portugal/Porto.html" TargetMode="External"/><Relationship Id="rId116" Type="http://schemas.openxmlformats.org/officeDocument/2006/relationships/hyperlink" Target="https://www.broadbandspeedchecker.co.uk/isp-directory/Finland/Helsinki.html" TargetMode="External"/><Relationship Id="rId137" Type="http://schemas.openxmlformats.org/officeDocument/2006/relationships/hyperlink" Target="https://www.iamexpat.de/lifestyle/lifestyle-news/nicht-glucklich-germany-drops-down-ranking-world-happiness-report" TargetMode="External"/><Relationship Id="rId158" Type="http://schemas.openxmlformats.org/officeDocument/2006/relationships/hyperlink" Target="https://en.wikipedia.org/wiki/Category:International_Baccalaureate_schools_in_Wales" TargetMode="External"/><Relationship Id="rId20" Type="http://schemas.openxmlformats.org/officeDocument/2006/relationships/hyperlink" Target="https://nomadtraveltools.com/place/portugal/lisbon" TargetMode="External"/><Relationship Id="rId41" Type="http://schemas.openxmlformats.org/officeDocument/2006/relationships/hyperlink" Target="https://www.internations.org/germany-expats/guide/visas-work-permits" TargetMode="External"/><Relationship Id="rId62" Type="http://schemas.openxmlformats.org/officeDocument/2006/relationships/hyperlink" Target="https://theislandofrhodes.com/buses-on-rhodes/" TargetMode="External"/><Relationship Id="rId83" Type="http://schemas.openxmlformats.org/officeDocument/2006/relationships/hyperlink" Target="https://www.climatestotravel.com/climate/germany/munich" TargetMode="External"/><Relationship Id="rId88" Type="http://schemas.openxmlformats.org/officeDocument/2006/relationships/hyperlink" Target="https://www.climatestotravel.com/climate/croatia/dubrovnik" TargetMode="External"/><Relationship Id="rId111" Type="http://schemas.openxmlformats.org/officeDocument/2006/relationships/hyperlink" Target="https://www.internationalschoolguide.com/norway/oslo/index.htm" TargetMode="External"/><Relationship Id="rId132" Type="http://schemas.openxmlformats.org/officeDocument/2006/relationships/hyperlink" Target="https://www.finder.com/uk/international-pint-price-map" TargetMode="External"/><Relationship Id="rId153" Type="http://schemas.openxmlformats.org/officeDocument/2006/relationships/hyperlink" Target="https://nomadtraveltools.com/" TargetMode="External"/><Relationship Id="rId15" Type="http://schemas.openxmlformats.org/officeDocument/2006/relationships/hyperlink" Target="https://www.tripadvisor.co.uk/" TargetMode="External"/><Relationship Id="rId36" Type="http://schemas.openxmlformats.org/officeDocument/2006/relationships/hyperlink" Target="https://www.speedtest.net/global-index/italy" TargetMode="External"/><Relationship Id="rId57" Type="http://schemas.openxmlformats.org/officeDocument/2006/relationships/hyperlink" Target="https://www.climatestotravel.com/climate/greece/rhodes" TargetMode="External"/><Relationship Id="rId106" Type="http://schemas.openxmlformats.org/officeDocument/2006/relationships/hyperlink" Target="https://testmy.net/city/porto_pt" TargetMode="External"/><Relationship Id="rId127" Type="http://schemas.openxmlformats.org/officeDocument/2006/relationships/hyperlink" Target="https://costoflive.com/cost-of-living/in/dubrovnik" TargetMode="External"/><Relationship Id="rId10" Type="http://schemas.openxmlformats.org/officeDocument/2006/relationships/hyperlink" Target="https://businessblog.trivago.com/trivago-hotel-price-index/" TargetMode="External"/><Relationship Id="rId31" Type="http://schemas.openxmlformats.org/officeDocument/2006/relationships/hyperlink" Target="https://www.gov.uk/guidance/travel-to-greece-for-work" TargetMode="External"/><Relationship Id="rId52" Type="http://schemas.openxmlformats.org/officeDocument/2006/relationships/hyperlink" Target="https://www.budgetyourtrip.com/budgetreportadv.php?country_code=&amp;startdate=&amp;enddate=&amp;categoryid=&amp;budgettype=&amp;triptype=&amp;travelerno=&amp;geonameid=3094802" TargetMode="External"/><Relationship Id="rId73" Type="http://schemas.openxmlformats.org/officeDocument/2006/relationships/hyperlink" Target="https://www.lignesdazur.com/acheter-titres-et-tarifs/la-carte-lignes-dazur" TargetMode="External"/><Relationship Id="rId78" Type="http://schemas.openxmlformats.org/officeDocument/2006/relationships/hyperlink" Target="https://www.budgetyourtrip.com/budgetreportadv.php?country_code=&amp;startdate=&amp;enddate=&amp;categoryid=&amp;budgettype=&amp;triptype=&amp;travelerno=&amp;geonameid=2925533" TargetMode="External"/><Relationship Id="rId94" Type="http://schemas.openxmlformats.org/officeDocument/2006/relationships/hyperlink" Target="https://livingcost.org/cost/croatia/dubrovnik" TargetMode="External"/><Relationship Id="rId99" Type="http://schemas.openxmlformats.org/officeDocument/2006/relationships/hyperlink" Target="https://www.gov.uk/skilled-worker-visa/how-much-it-costs" TargetMode="External"/><Relationship Id="rId101" Type="http://schemas.openxmlformats.org/officeDocument/2006/relationships/hyperlink" Target="https://en.wikipedia.org/wiki/Category:International_Baccalaureate_schools_in_Wales" TargetMode="External"/><Relationship Id="rId122" Type="http://schemas.openxmlformats.org/officeDocument/2006/relationships/hyperlink" Target="http://www.internationalschoolguide.com/scotland/edinburgh/index.htm" TargetMode="External"/><Relationship Id="rId143" Type="http://schemas.openxmlformats.org/officeDocument/2006/relationships/hyperlink" Target="https://www.climatestotravel.com/" TargetMode="External"/><Relationship Id="rId148" Type="http://schemas.openxmlformats.org/officeDocument/2006/relationships/hyperlink" Target="https://fairinternetreport.com/" TargetMode="External"/><Relationship Id="rId4" Type="http://schemas.openxmlformats.org/officeDocument/2006/relationships/hyperlink" Target="https://worldhappiness.report/ed/2020/cities-and-happiness-a-global-ranking-and-analysis/" TargetMode="External"/><Relationship Id="rId9" Type="http://schemas.openxmlformats.org/officeDocument/2006/relationships/hyperlink" Target="https://www.expatistan.com/cost-of-living/" TargetMode="External"/><Relationship Id="rId26" Type="http://schemas.openxmlformats.org/officeDocument/2006/relationships/hyperlink" Target="https://worldhappiness.report/ed/2020/cities-and-happiness-a-global-ranking-and-analysis/" TargetMode="External"/><Relationship Id="rId47" Type="http://schemas.openxmlformats.org/officeDocument/2006/relationships/hyperlink" Target="https://weather-and-climate.com/average-monthly-hours-Sunshine,Krakow,Poland" TargetMode="External"/><Relationship Id="rId68" Type="http://schemas.openxmlformats.org/officeDocument/2006/relationships/hyperlink" Target="https://www.budgetyourtrip.com/budgetreportadv.php?country_code=&amp;startdate=&amp;enddate=&amp;categoryid=&amp;budgettype=&amp;triptype=&amp;travelerno=&amp;geonameid=2735943" TargetMode="External"/><Relationship Id="rId89" Type="http://schemas.openxmlformats.org/officeDocument/2006/relationships/hyperlink" Target="https://countryeconomy.com/demography/world-happiness-index/croatia" TargetMode="External"/><Relationship Id="rId112" Type="http://schemas.openxmlformats.org/officeDocument/2006/relationships/hyperlink" Target="https://www.migrationsverket.se/English/Private-individuals/Working-in-Sweden/Fees.html" TargetMode="External"/><Relationship Id="rId133" Type="http://schemas.openxmlformats.org/officeDocument/2006/relationships/hyperlink" Target="https://www.statista.com/statistics/716760/independent-coffee-shops-average-price-in-europe-by-city/" TargetMode="External"/><Relationship Id="rId154" Type="http://schemas.openxmlformats.org/officeDocument/2006/relationships/hyperlink" Target="https://www.statista.com/statistics/582643/average-mobile-internet-speed-in-sweden-by-county/" TargetMode="External"/><Relationship Id="rId16" Type="http://schemas.openxmlformats.org/officeDocument/2006/relationships/hyperlink" Target="https://www.international-schools-database.com/" TargetMode="External"/><Relationship Id="rId37" Type="http://schemas.openxmlformats.org/officeDocument/2006/relationships/hyperlink" Target="https://www.momondo.com/hotels/milan" TargetMode="External"/><Relationship Id="rId58" Type="http://schemas.openxmlformats.org/officeDocument/2006/relationships/hyperlink" Target="https://en.climate-data.org/europe/greece/rhodes/rhodes-15369/" TargetMode="External"/><Relationship Id="rId79" Type="http://schemas.openxmlformats.org/officeDocument/2006/relationships/hyperlink" Target="https://www.internations.org/netherlands-expats/guide/visas-work-permits" TargetMode="External"/><Relationship Id="rId102" Type="http://schemas.openxmlformats.org/officeDocument/2006/relationships/hyperlink" Target="https://visaguide.world/europe/ireland-visa/fees/" TargetMode="External"/><Relationship Id="rId123" Type="http://schemas.openxmlformats.org/officeDocument/2006/relationships/hyperlink" Target="https://worldhappiness.report/ed/2020/cities-and-happiness-a-global-ranking-and-analysis/" TargetMode="External"/><Relationship Id="rId144" Type="http://schemas.openxmlformats.org/officeDocument/2006/relationships/hyperlink" Target="https://www.statista.com/statistics/1026149/hours-of-sunshine-by-cite-france/" TargetMode="External"/><Relationship Id="rId90" Type="http://schemas.openxmlformats.org/officeDocument/2006/relationships/hyperlink" Target="https://www.akbartravels.com/work-visa/croatia" TargetMode="External"/><Relationship Id="rId27" Type="http://schemas.openxmlformats.org/officeDocument/2006/relationships/hyperlink" Target="https://www.bradfordjacobs.com/countries/czech-republic-visas-and-work-permits/" TargetMode="External"/><Relationship Id="rId48" Type="http://schemas.openxmlformats.org/officeDocument/2006/relationships/hyperlink" Target="https://www.climatestotravel.com/climate/poland/krakow" TargetMode="External"/><Relationship Id="rId69" Type="http://schemas.openxmlformats.org/officeDocument/2006/relationships/hyperlink" Target="https://www.statista.com/statistics/1026149/hours-of-sunshine-by-cite-france/" TargetMode="External"/><Relationship Id="rId113" Type="http://schemas.openxmlformats.org/officeDocument/2006/relationships/hyperlink" Target="https://www.statista.com/statistics/582643/average-mobile-internet-speed-in-sweden-by-county/" TargetMode="External"/><Relationship Id="rId134" Type="http://schemas.openxmlformats.org/officeDocument/2006/relationships/hyperlink" Target="https://www.google.com/search?q=currency+converter&amp;oq=currency+converter&amp;aqs=chrome.0.69i59j0i512j0i131i433i512j0i512l2j0i131i433i512l2j0i512j0i20i263i512j0i512.4758j1j7&amp;sourceid=chrome&amp;ie=UTF-8" TargetMode="External"/><Relationship Id="rId80" Type="http://schemas.openxmlformats.org/officeDocument/2006/relationships/hyperlink" Target="https://www.prijsvergelijken.nl/compare-broadband/broadband-in-the-netherlands-guide/" TargetMode="External"/><Relationship Id="rId155" Type="http://schemas.openxmlformats.org/officeDocument/2006/relationships/hyperlink" Target="https://guide.michelin.com/gb/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omtom.com/en_gb/traffic-index/ranking/" TargetMode="External"/><Relationship Id="rId2" Type="http://schemas.openxmlformats.org/officeDocument/2006/relationships/hyperlink" Target="https://www.numbeo.com/cost-of-living/region_prices_by_city?itemId=105&amp;region=150&amp;displayCurrency=EUR" TargetMode="External"/><Relationship Id="rId1" Type="http://schemas.openxmlformats.org/officeDocument/2006/relationships/hyperlink" Target="https://www.globalpetrolprices.com/diesel_prices/Europe/" TargetMode="External"/><Relationship Id="rId5" Type="http://schemas.openxmlformats.org/officeDocument/2006/relationships/hyperlink" Target="https://www.alltherooms.com/analytics/average-airbnb-prices-by-city/" TargetMode="External"/><Relationship Id="rId4" Type="http://schemas.openxmlformats.org/officeDocument/2006/relationships/hyperlink" Target="https://www.mynewsdesk.com/eurofound/news/budapest-paris-and-amsterdam-report-longest-commuting-times-among-eu-capitals-39427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I1007"/>
  <sheetViews>
    <sheetView tabSelected="1" workbookViewId="0">
      <pane xSplit="1" topLeftCell="B1" activePane="topRight" state="frozen"/>
      <selection pane="topRight" activeCell="C2" sqref="C2"/>
    </sheetView>
  </sheetViews>
  <sheetFormatPr baseColWidth="10" defaultColWidth="12.5703125" defaultRowHeight="15.75" customHeight="1" x14ac:dyDescent="0.2"/>
  <cols>
    <col min="1" max="1" width="27.28515625" customWidth="1"/>
    <col min="2" max="2" width="12.85546875" hidden="1" customWidth="1"/>
    <col min="3" max="4" width="13.42578125" hidden="1" customWidth="1"/>
    <col min="5" max="5" width="13.42578125" customWidth="1"/>
    <col min="6" max="6" width="13.42578125" hidden="1" customWidth="1"/>
    <col min="7" max="7" width="12.85546875" customWidth="1"/>
    <col min="8" max="8" width="13.42578125" customWidth="1"/>
    <col min="9" max="9" width="13.42578125" hidden="1" customWidth="1"/>
    <col min="10" max="10" width="13.42578125" customWidth="1"/>
    <col min="11" max="11" width="13.42578125" hidden="1" customWidth="1"/>
    <col min="12" max="12" width="13" hidden="1" customWidth="1"/>
    <col min="13" max="13" width="13" customWidth="1"/>
    <col min="14" max="14" width="13" hidden="1" customWidth="1"/>
    <col min="15" max="15" width="13" customWidth="1"/>
    <col min="16" max="16" width="13" hidden="1" customWidth="1"/>
    <col min="17" max="17" width="16.42578125" hidden="1" customWidth="1"/>
    <col min="18" max="18" width="16.42578125" customWidth="1"/>
    <col min="19" max="19" width="16.42578125" hidden="1" customWidth="1"/>
    <col min="20" max="20" width="25" customWidth="1"/>
    <col min="21" max="21" width="18.140625" hidden="1" customWidth="1"/>
    <col min="22" max="22" width="17.5703125" hidden="1" customWidth="1"/>
    <col min="23" max="23" width="17.5703125" customWidth="1"/>
    <col min="24" max="25" width="17.5703125" hidden="1" customWidth="1"/>
    <col min="26" max="26" width="20.42578125" customWidth="1"/>
    <col min="27" max="27" width="20.42578125" hidden="1" customWidth="1"/>
    <col min="28" max="28" width="18.42578125" hidden="1" customWidth="1"/>
    <col min="29" max="29" width="15.5703125" hidden="1" customWidth="1"/>
    <col min="30" max="34" width="12.28515625" hidden="1" customWidth="1"/>
    <col min="35" max="35" width="12.7109375" customWidth="1"/>
    <col min="36" max="37" width="12.7109375" hidden="1" customWidth="1"/>
    <col min="38" max="38" width="17.5703125" customWidth="1"/>
    <col min="39" max="39" width="17.5703125" hidden="1" customWidth="1"/>
    <col min="40" max="40" width="18.42578125" customWidth="1"/>
    <col min="41" max="41" width="18.42578125" hidden="1" customWidth="1"/>
    <col min="42" max="42" width="21.42578125" customWidth="1"/>
    <col min="43" max="43" width="21.42578125" hidden="1" customWidth="1"/>
    <col min="44" max="44" width="18.42578125" customWidth="1"/>
    <col min="45" max="45" width="18.42578125" hidden="1" customWidth="1"/>
  </cols>
  <sheetData>
    <row r="1" spans="1:61" ht="43.5" customHeight="1" x14ac:dyDescent="0.2">
      <c r="A1" s="1" t="s">
        <v>0</v>
      </c>
      <c r="B1" s="2" t="s">
        <v>1</v>
      </c>
      <c r="C1" s="3">
        <v>1</v>
      </c>
      <c r="D1" s="2" t="s">
        <v>2</v>
      </c>
      <c r="E1" s="2" t="s">
        <v>3</v>
      </c>
      <c r="F1" s="2" t="s">
        <v>4</v>
      </c>
      <c r="G1" s="4" t="s">
        <v>5</v>
      </c>
      <c r="H1" s="4" t="s">
        <v>6</v>
      </c>
      <c r="I1" s="2" t="s">
        <v>7</v>
      </c>
      <c r="J1" s="5" t="s">
        <v>8</v>
      </c>
      <c r="K1" s="6" t="s">
        <v>9</v>
      </c>
      <c r="L1" s="5" t="s">
        <v>10</v>
      </c>
      <c r="M1" s="5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4" t="s">
        <v>16</v>
      </c>
      <c r="S1" s="2" t="s">
        <v>17</v>
      </c>
      <c r="T1" s="5" t="s">
        <v>18</v>
      </c>
      <c r="U1" s="6" t="s">
        <v>19</v>
      </c>
      <c r="V1" s="6" t="s">
        <v>20</v>
      </c>
      <c r="W1" s="5" t="s">
        <v>21</v>
      </c>
      <c r="X1" s="6" t="s">
        <v>22</v>
      </c>
      <c r="Y1" s="6" t="s">
        <v>23</v>
      </c>
      <c r="Z1" s="5" t="s">
        <v>24</v>
      </c>
      <c r="AA1" s="6" t="s">
        <v>25</v>
      </c>
      <c r="AB1" s="6" t="s">
        <v>26</v>
      </c>
      <c r="AC1" s="4" t="s">
        <v>27</v>
      </c>
      <c r="AD1" s="6" t="s">
        <v>28</v>
      </c>
      <c r="AE1" s="2" t="s">
        <v>29</v>
      </c>
      <c r="AF1" s="4" t="s">
        <v>30</v>
      </c>
      <c r="AG1" s="2" t="s">
        <v>31</v>
      </c>
      <c r="AH1" s="6" t="s">
        <v>32</v>
      </c>
      <c r="AI1" s="4" t="s">
        <v>33</v>
      </c>
      <c r="AJ1" s="2" t="s">
        <v>34</v>
      </c>
      <c r="AK1" s="6" t="s">
        <v>35</v>
      </c>
      <c r="AL1" s="4" t="s">
        <v>36</v>
      </c>
      <c r="AM1" s="2" t="s">
        <v>37</v>
      </c>
      <c r="AN1" s="4" t="s">
        <v>38</v>
      </c>
      <c r="AO1" s="2" t="s">
        <v>39</v>
      </c>
      <c r="AP1" s="5" t="s">
        <v>40</v>
      </c>
      <c r="AQ1" s="6" t="s">
        <v>41</v>
      </c>
      <c r="AR1" s="5" t="s">
        <v>42</v>
      </c>
      <c r="AS1" s="6" t="s">
        <v>43</v>
      </c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ht="12.75" x14ac:dyDescent="0.2">
      <c r="A2" s="8" t="s">
        <v>44</v>
      </c>
      <c r="B2" s="9">
        <f t="shared" ref="B2:B31" si="0">SUM(F2+I2+K2+N2+P2+S2+V2+X2+AE2+AG2+AJ2+AM2+AO2+AQ2+AS2)</f>
        <v>343</v>
      </c>
      <c r="C2" s="9">
        <v>450</v>
      </c>
      <c r="D2" s="9">
        <f t="shared" ref="D2:D31" si="1">B2/C2*100</f>
        <v>76.222222222222229</v>
      </c>
      <c r="E2" s="10">
        <f t="shared" ref="E2:E31" si="2">D2*0.1</f>
        <v>7.6222222222222236</v>
      </c>
      <c r="F2" s="9">
        <v>27</v>
      </c>
      <c r="G2" s="11">
        <v>2769</v>
      </c>
      <c r="H2" s="11">
        <v>423</v>
      </c>
      <c r="I2" s="9">
        <v>30</v>
      </c>
      <c r="J2" s="12">
        <v>0.63</v>
      </c>
      <c r="K2" s="13">
        <v>25</v>
      </c>
      <c r="L2" s="12">
        <v>6.5</v>
      </c>
      <c r="M2" s="12">
        <v>6</v>
      </c>
      <c r="N2" s="13">
        <v>26</v>
      </c>
      <c r="O2" s="14">
        <v>550</v>
      </c>
      <c r="P2" s="13">
        <v>9</v>
      </c>
      <c r="Q2" s="15">
        <f ca="1">IFERROR(__xludf.DUMMYFUNCTION("O2*GOOGLEFINANCE(""CURRENCY:EURGBP"")"),479.43219753)</f>
        <v>479.43219753</v>
      </c>
      <c r="R2" s="12">
        <v>98</v>
      </c>
      <c r="S2" s="13">
        <v>26</v>
      </c>
      <c r="T2" s="16">
        <v>1784</v>
      </c>
      <c r="U2" s="17"/>
      <c r="V2" s="18">
        <v>20</v>
      </c>
      <c r="W2" s="16">
        <v>695</v>
      </c>
      <c r="X2" s="13">
        <v>19</v>
      </c>
      <c r="Y2" s="17"/>
      <c r="Z2" s="16">
        <v>52</v>
      </c>
      <c r="AA2" s="17">
        <f ca="1">IFERROR(__xludf.DUMMYFUNCTION("Z2*GOOGLEFINANCE(""CURRENCY:EURGBP"")"),45.3281350392)</f>
        <v>45.328135039199999</v>
      </c>
      <c r="AB2" s="17" t="str">
        <f ca="1">IFERROR(__xludf.DUMMYFUNCTION("#REF!*GOOGLEFINANCE(""CURRENCY:EURGBP"")"),"#REF!")</f>
        <v>#REF!</v>
      </c>
      <c r="AC2" s="16">
        <v>174</v>
      </c>
      <c r="AD2" s="17">
        <f ca="1">IFERROR(__xludf.DUMMYFUNCTION("AC2*GOOGLEFINANCE(""CURRENCY:EURGBP"")"),151.6749134004)</f>
        <v>151.67491340039999</v>
      </c>
      <c r="AE2" s="13">
        <v>16</v>
      </c>
      <c r="AF2" s="16">
        <v>3.6</v>
      </c>
      <c r="AG2" s="13">
        <v>23</v>
      </c>
      <c r="AH2" s="17">
        <f ca="1">IFERROR(__xludf.DUMMYFUNCTION("AF2*GOOGLEFINANCE(""CURRENCY:EURGBP"")"),3.13810165656)</f>
        <v>3.13810165656</v>
      </c>
      <c r="AI2" s="16">
        <v>2.58</v>
      </c>
      <c r="AJ2" s="13">
        <v>23</v>
      </c>
      <c r="AK2" s="17">
        <f ca="1">IFERROR(__xludf.DUMMYFUNCTION("AI2*GOOGLEFINANCE(""CURRENCY:EURGBP"")"),2.248972853868)</f>
        <v>2.2489728538680001</v>
      </c>
      <c r="AL2" s="12">
        <v>127</v>
      </c>
      <c r="AM2" s="13">
        <v>28</v>
      </c>
      <c r="AN2" s="12">
        <v>4</v>
      </c>
      <c r="AO2" s="13">
        <v>24</v>
      </c>
      <c r="AP2" s="12">
        <v>76</v>
      </c>
      <c r="AQ2" s="13">
        <v>17</v>
      </c>
      <c r="AR2" s="12">
        <v>53</v>
      </c>
      <c r="AS2" s="13">
        <v>30</v>
      </c>
    </row>
    <row r="3" spans="1:61" ht="12.75" x14ac:dyDescent="0.2">
      <c r="A3" s="8" t="s">
        <v>45</v>
      </c>
      <c r="B3" s="9">
        <f t="shared" si="0"/>
        <v>334</v>
      </c>
      <c r="C3" s="9">
        <v>450</v>
      </c>
      <c r="D3" s="9">
        <f t="shared" si="1"/>
        <v>74.222222222222229</v>
      </c>
      <c r="E3" s="10">
        <f t="shared" si="2"/>
        <v>7.4222222222222234</v>
      </c>
      <c r="F3" s="9">
        <v>25</v>
      </c>
      <c r="G3" s="11">
        <v>2591</v>
      </c>
      <c r="H3" s="11">
        <v>588</v>
      </c>
      <c r="I3" s="9">
        <v>24</v>
      </c>
      <c r="J3" s="12">
        <v>0.63</v>
      </c>
      <c r="K3" s="13">
        <v>24</v>
      </c>
      <c r="L3" s="12">
        <v>6.38</v>
      </c>
      <c r="M3" s="12">
        <v>2</v>
      </c>
      <c r="N3" s="13">
        <v>29</v>
      </c>
      <c r="O3" s="14">
        <v>550</v>
      </c>
      <c r="P3" s="13">
        <v>10</v>
      </c>
      <c r="Q3" s="15">
        <f ca="1">IFERROR(__xludf.DUMMYFUNCTION("O3*GOOGLEFINANCE(""CURRENCY:EURGBP"")"),479.43219753)</f>
        <v>479.43219753</v>
      </c>
      <c r="R3" s="19">
        <v>94</v>
      </c>
      <c r="S3" s="13">
        <v>23</v>
      </c>
      <c r="T3" s="16">
        <v>1854</v>
      </c>
      <c r="U3" s="17"/>
      <c r="V3" s="18">
        <v>18</v>
      </c>
      <c r="W3" s="16">
        <v>727</v>
      </c>
      <c r="X3" s="13">
        <v>17</v>
      </c>
      <c r="Y3" s="17"/>
      <c r="Z3" s="16">
        <v>40</v>
      </c>
      <c r="AA3" s="17">
        <f ca="1">IFERROR(__xludf.DUMMYFUNCTION("Z3*GOOGLEFINANCE(""CURRENCY:EURGBP"")"),34.867796184)</f>
        <v>34.867796183999999</v>
      </c>
      <c r="AB3" s="17" t="str">
        <f ca="1">IFERROR(__xludf.DUMMYFUNCTION("#REF!*GOOGLEFINANCE(""CURRENCY:EURGBP"")"),"#REF!")</f>
        <v>#REF!</v>
      </c>
      <c r="AC3" s="16">
        <v>245</v>
      </c>
      <c r="AD3" s="17">
        <f ca="1">IFERROR(__xludf.DUMMYFUNCTION("AC3*GOOGLEFINANCE(""CURRENCY:EURGBP"")"),213.565251627)</f>
        <v>213.56525162700001</v>
      </c>
      <c r="AE3" s="13">
        <v>21</v>
      </c>
      <c r="AF3" s="16">
        <v>4.3099999999999996</v>
      </c>
      <c r="AG3" s="13">
        <v>15</v>
      </c>
      <c r="AH3" s="17">
        <f ca="1">IFERROR(__xludf.DUMMYFUNCTION("AF3*GOOGLEFINANCE(""CURRENCY:EURGBP"")"),3.75700503882599)</f>
        <v>3.7570050388259899</v>
      </c>
      <c r="AI3" s="16">
        <v>2.64</v>
      </c>
      <c r="AJ3" s="13">
        <v>21</v>
      </c>
      <c r="AK3" s="17">
        <f ca="1">IFERROR(__xludf.DUMMYFUNCTION("AI3*GOOGLEFINANCE(""CURRENCY:EURGBP"")"),2.301274548144)</f>
        <v>2.3012745481439998</v>
      </c>
      <c r="AL3" s="19">
        <v>66</v>
      </c>
      <c r="AM3" s="13">
        <v>24</v>
      </c>
      <c r="AN3" s="12">
        <v>6</v>
      </c>
      <c r="AO3" s="13">
        <v>27</v>
      </c>
      <c r="AP3" s="12">
        <v>147</v>
      </c>
      <c r="AQ3" s="13">
        <v>27</v>
      </c>
      <c r="AR3" s="12">
        <v>46</v>
      </c>
      <c r="AS3" s="13">
        <v>29</v>
      </c>
    </row>
    <row r="4" spans="1:61" ht="12.75" x14ac:dyDescent="0.2">
      <c r="A4" s="8" t="s">
        <v>46</v>
      </c>
      <c r="B4" s="9">
        <f t="shared" si="0"/>
        <v>313</v>
      </c>
      <c r="C4" s="9">
        <v>450</v>
      </c>
      <c r="D4" s="9">
        <f t="shared" si="1"/>
        <v>69.555555555555557</v>
      </c>
      <c r="E4" s="10">
        <f t="shared" si="2"/>
        <v>6.9555555555555557</v>
      </c>
      <c r="F4" s="9">
        <v>30</v>
      </c>
      <c r="G4" s="11">
        <v>2806</v>
      </c>
      <c r="H4" s="11">
        <v>774</v>
      </c>
      <c r="I4" s="9">
        <v>13</v>
      </c>
      <c r="J4" s="12">
        <v>0.79</v>
      </c>
      <c r="K4" s="13">
        <v>16</v>
      </c>
      <c r="L4" s="12"/>
      <c r="M4" s="12">
        <v>1</v>
      </c>
      <c r="N4" s="13">
        <v>30</v>
      </c>
      <c r="O4" s="14">
        <v>245</v>
      </c>
      <c r="P4" s="13">
        <v>13</v>
      </c>
      <c r="Q4" s="15">
        <f ca="1">IFERROR(__xludf.DUMMYFUNCTION("O4*GOOGLEFINANCE(""CURRENCY:EURGBP"")"),213.565251627)</f>
        <v>213.56525162700001</v>
      </c>
      <c r="R4" s="20">
        <v>110</v>
      </c>
      <c r="S4" s="13">
        <v>30</v>
      </c>
      <c r="T4" s="16">
        <v>1772</v>
      </c>
      <c r="U4" s="17"/>
      <c r="V4" s="13">
        <v>21</v>
      </c>
      <c r="W4" s="16">
        <v>747</v>
      </c>
      <c r="X4" s="13">
        <v>15</v>
      </c>
      <c r="Y4" s="17"/>
      <c r="Z4" s="16">
        <v>40</v>
      </c>
      <c r="AA4" s="17">
        <f ca="1">IFERROR(__xludf.DUMMYFUNCTION("Z4*GOOGLEFINANCE(""CURRENCY:EURGBP"")"),34.867796184)</f>
        <v>34.867796183999999</v>
      </c>
      <c r="AB4" s="17" t="str">
        <f ca="1">IFERROR(__xludf.DUMMYFUNCTION("#REF!*GOOGLEFINANCE(""CURRENCY:EURGBP"")"),"#REF!")</f>
        <v>#REF!</v>
      </c>
      <c r="AC4" s="16">
        <v>190</v>
      </c>
      <c r="AD4" s="17">
        <f ca="1">IFERROR(__xludf.DUMMYFUNCTION("AC4*GOOGLEFINANCE(""CURRENCY:EURGBP"")"),165.622031874)</f>
        <v>165.62203187399999</v>
      </c>
      <c r="AE4" s="13">
        <v>22</v>
      </c>
      <c r="AF4" s="16">
        <v>1.89</v>
      </c>
      <c r="AG4" s="13">
        <v>28</v>
      </c>
      <c r="AH4" s="17">
        <f ca="1">IFERROR(__xludf.DUMMYFUNCTION("AF4*GOOGLEFINANCE(""CURRENCY:EURGBP"")"),1.64750336969399)</f>
        <v>1.64750336969399</v>
      </c>
      <c r="AI4" s="16">
        <v>2.37</v>
      </c>
      <c r="AJ4" s="13">
        <v>25</v>
      </c>
      <c r="AK4" s="17">
        <f ca="1">IFERROR(__xludf.DUMMYFUNCTION("AI4*GOOGLEFINANCE(""CURRENCY:EURGBP"")"),2.065916923902)</f>
        <v>2.0659169239019999</v>
      </c>
      <c r="AL4" s="12">
        <v>37</v>
      </c>
      <c r="AM4" s="13">
        <v>18</v>
      </c>
      <c r="AN4" s="12">
        <v>1</v>
      </c>
      <c r="AO4" s="13">
        <v>14</v>
      </c>
      <c r="AP4" s="12">
        <v>64</v>
      </c>
      <c r="AQ4" s="13">
        <v>13</v>
      </c>
      <c r="AR4" s="12">
        <v>26</v>
      </c>
      <c r="AS4" s="13">
        <v>25</v>
      </c>
    </row>
    <row r="5" spans="1:61" ht="12.75" x14ac:dyDescent="0.2">
      <c r="A5" s="8" t="s">
        <v>47</v>
      </c>
      <c r="B5" s="9">
        <f t="shared" si="0"/>
        <v>303</v>
      </c>
      <c r="C5" s="9">
        <v>450</v>
      </c>
      <c r="D5" s="9">
        <f t="shared" si="1"/>
        <v>67.333333333333329</v>
      </c>
      <c r="E5" s="10">
        <f t="shared" si="2"/>
        <v>6.7333333333333334</v>
      </c>
      <c r="F5" s="9">
        <v>21</v>
      </c>
      <c r="G5" s="11">
        <v>1988</v>
      </c>
      <c r="H5" s="11">
        <v>532</v>
      </c>
      <c r="I5" s="9">
        <v>26</v>
      </c>
      <c r="J5" s="12">
        <v>0.79</v>
      </c>
      <c r="K5" s="13">
        <v>17</v>
      </c>
      <c r="L5" s="12"/>
      <c r="M5" s="21">
        <v>51</v>
      </c>
      <c r="N5" s="13">
        <v>3</v>
      </c>
      <c r="O5" s="14">
        <v>110</v>
      </c>
      <c r="P5" s="13">
        <v>20</v>
      </c>
      <c r="Q5" s="15">
        <f ca="1">IFERROR(__xludf.DUMMYFUNCTION("O5*GOOGLEFINANCE(""CURRENCY:EURGBP"")"),95.886439506)</f>
        <v>95.886439506000002</v>
      </c>
      <c r="R5" s="20">
        <v>102</v>
      </c>
      <c r="S5" s="13">
        <v>28</v>
      </c>
      <c r="T5" s="16">
        <v>1184</v>
      </c>
      <c r="U5" s="17"/>
      <c r="V5" s="18">
        <v>28</v>
      </c>
      <c r="W5" s="16">
        <v>432</v>
      </c>
      <c r="X5" s="13">
        <v>28</v>
      </c>
      <c r="Y5" s="17"/>
      <c r="Z5" s="22">
        <v>23.99</v>
      </c>
      <c r="AA5" s="17">
        <f ca="1">IFERROR(__xludf.DUMMYFUNCTION("Z5*GOOGLEFINANCE(""CURRENCY:EURGBP"")"),20.911960761354)</f>
        <v>20.911960761353999</v>
      </c>
      <c r="AB5" s="17" t="str">
        <f ca="1">IFERROR(__xludf.DUMMYFUNCTION("#REF!*GOOGLEFINANCE(""CURRENCY:EURGBP"")"),"#REF!")</f>
        <v>#REF!</v>
      </c>
      <c r="AC5" s="23">
        <v>73.19</v>
      </c>
      <c r="AD5" s="17">
        <f ca="1">IFERROR(__xludf.DUMMYFUNCTION("AC5*GOOGLEFINANCE(""CURRENCY:EURGBP"")"),63.799350067674)</f>
        <v>63.799350067673998</v>
      </c>
      <c r="AE5" s="13">
        <v>29</v>
      </c>
      <c r="AF5" s="16">
        <v>1.48</v>
      </c>
      <c r="AG5" s="13">
        <v>30</v>
      </c>
      <c r="AH5" s="17">
        <f ca="1">IFERROR(__xludf.DUMMYFUNCTION("AF5*GOOGLEFINANCE(""CURRENCY:EURGBP"")"),1.290108458808)</f>
        <v>1.2901084588080001</v>
      </c>
      <c r="AI5" s="16">
        <v>2.19</v>
      </c>
      <c r="AJ5" s="13">
        <v>27</v>
      </c>
      <c r="AK5" s="17">
        <f ca="1">IFERROR(__xludf.DUMMYFUNCTION("AI5*GOOGLEFINANCE(""CURRENCY:EURGBP"")"),1.909011841074)</f>
        <v>1.909011841074</v>
      </c>
      <c r="AL5" s="12">
        <v>20</v>
      </c>
      <c r="AM5" s="13">
        <v>8</v>
      </c>
      <c r="AN5" s="12">
        <v>0</v>
      </c>
      <c r="AO5" s="13">
        <v>1</v>
      </c>
      <c r="AP5" s="12">
        <v>85</v>
      </c>
      <c r="AQ5" s="13">
        <v>20</v>
      </c>
      <c r="AR5" s="12">
        <v>16</v>
      </c>
      <c r="AS5" s="13">
        <v>17</v>
      </c>
    </row>
    <row r="6" spans="1:61" ht="12.75" x14ac:dyDescent="0.2">
      <c r="A6" s="8" t="s">
        <v>48</v>
      </c>
      <c r="B6" s="9">
        <f t="shared" si="0"/>
        <v>298</v>
      </c>
      <c r="C6" s="9">
        <v>450</v>
      </c>
      <c r="D6" s="9">
        <f t="shared" si="1"/>
        <v>66.222222222222229</v>
      </c>
      <c r="E6" s="10">
        <f t="shared" si="2"/>
        <v>6.6222222222222236</v>
      </c>
      <c r="F6" s="9">
        <v>13</v>
      </c>
      <c r="G6" s="11">
        <v>1668</v>
      </c>
      <c r="H6" s="11">
        <v>587</v>
      </c>
      <c r="I6" s="9">
        <v>25</v>
      </c>
      <c r="J6" s="12">
        <v>0.53</v>
      </c>
      <c r="K6" s="13">
        <v>28</v>
      </c>
      <c r="L6" s="12">
        <v>6.62</v>
      </c>
      <c r="M6" s="21">
        <v>44</v>
      </c>
      <c r="N6" s="13">
        <v>6</v>
      </c>
      <c r="O6" s="14">
        <v>194</v>
      </c>
      <c r="P6" s="13">
        <v>15</v>
      </c>
      <c r="Q6" s="15">
        <f ca="1">IFERROR(__xludf.DUMMYFUNCTION("O6*GOOGLEFINANCE(""CURRENCY:EURGBP"")"),169.1088114924)</f>
        <v>169.10881149240001</v>
      </c>
      <c r="R6" s="20">
        <v>59</v>
      </c>
      <c r="S6" s="13">
        <v>16</v>
      </c>
      <c r="T6" s="16">
        <v>1611</v>
      </c>
      <c r="U6" s="17"/>
      <c r="V6" s="13">
        <v>23</v>
      </c>
      <c r="W6" s="16">
        <v>621</v>
      </c>
      <c r="X6" s="13">
        <v>23</v>
      </c>
      <c r="Y6" s="17"/>
      <c r="Z6" s="16">
        <v>22</v>
      </c>
      <c r="AA6" s="17">
        <f ca="1">IFERROR(__xludf.DUMMYFUNCTION("Z6*GOOGLEFINANCE(""CURRENCY:EURGBP"")"),19.1772879012)</f>
        <v>19.1772879012</v>
      </c>
      <c r="AB6" s="17" t="str">
        <f ca="1">IFERROR(__xludf.DUMMYFUNCTION("#REF!*GOOGLEFINANCE(""CURRENCY:EURGBP"")"),"#REF!")</f>
        <v>#REF!</v>
      </c>
      <c r="AC6" s="23">
        <v>92.62</v>
      </c>
      <c r="AD6" s="17">
        <f ca="1">IFERROR(__xludf.DUMMYFUNCTION("AC6*GOOGLEFINANCE(""CURRENCY:EURGBP"")"),80.736382064052)</f>
        <v>80.736382064051995</v>
      </c>
      <c r="AE6" s="13">
        <v>30</v>
      </c>
      <c r="AF6" s="16">
        <v>1.67</v>
      </c>
      <c r="AG6" s="13">
        <v>29</v>
      </c>
      <c r="AH6" s="16">
        <v>1.67</v>
      </c>
      <c r="AI6" s="16">
        <v>2.81</v>
      </c>
      <c r="AJ6" s="13">
        <v>20</v>
      </c>
      <c r="AK6" s="17">
        <f ca="1">IFERROR(__xludf.DUMMYFUNCTION("AI6*GOOGLEFINANCE(""CURRENCY:EURGBP"")"),2.449462681926)</f>
        <v>2.4494626819260001</v>
      </c>
      <c r="AL6" s="19">
        <v>27</v>
      </c>
      <c r="AM6" s="13">
        <v>13</v>
      </c>
      <c r="AN6" s="12">
        <v>1</v>
      </c>
      <c r="AO6" s="13">
        <v>15</v>
      </c>
      <c r="AP6" s="12">
        <v>95</v>
      </c>
      <c r="AQ6" s="13">
        <v>22</v>
      </c>
      <c r="AR6" s="12">
        <v>20</v>
      </c>
      <c r="AS6" s="13">
        <v>20</v>
      </c>
    </row>
    <row r="7" spans="1:61" ht="12.75" x14ac:dyDescent="0.2">
      <c r="A7" s="8" t="s">
        <v>49</v>
      </c>
      <c r="B7" s="9">
        <f t="shared" si="0"/>
        <v>295</v>
      </c>
      <c r="C7" s="9">
        <v>450</v>
      </c>
      <c r="D7" s="9">
        <f t="shared" si="1"/>
        <v>65.555555555555557</v>
      </c>
      <c r="E7" s="10">
        <f t="shared" si="2"/>
        <v>6.5555555555555562</v>
      </c>
      <c r="F7" s="9">
        <v>23</v>
      </c>
      <c r="G7" s="11">
        <v>2473</v>
      </c>
      <c r="H7" s="11">
        <v>798.5</v>
      </c>
      <c r="I7" s="9">
        <v>12</v>
      </c>
      <c r="J7" s="12">
        <v>0.48</v>
      </c>
      <c r="K7" s="13">
        <v>30</v>
      </c>
      <c r="L7" s="12"/>
      <c r="M7" s="12">
        <v>4</v>
      </c>
      <c r="N7" s="13">
        <v>27</v>
      </c>
      <c r="O7" s="14">
        <v>116</v>
      </c>
      <c r="P7" s="13">
        <v>19</v>
      </c>
      <c r="Q7" s="15">
        <f ca="1">IFERROR(__xludf.DUMMYFUNCTION("O7*GOOGLEFINANCE(""CURRENCY:EURGBP"")"),101.116608933599)</f>
        <v>101.116608933599</v>
      </c>
      <c r="R7" s="19">
        <v>41</v>
      </c>
      <c r="S7" s="13">
        <v>5</v>
      </c>
      <c r="T7" s="16">
        <v>2223</v>
      </c>
      <c r="U7" s="17"/>
      <c r="V7" s="13">
        <v>13</v>
      </c>
      <c r="W7" s="16">
        <v>702</v>
      </c>
      <c r="X7" s="13">
        <v>18</v>
      </c>
      <c r="Y7" s="17"/>
      <c r="Z7" s="16">
        <v>35</v>
      </c>
      <c r="AA7" s="17">
        <f ca="1">IFERROR(__xludf.DUMMYFUNCTION("Z7*GOOGLEFINANCE(""CURRENCY:EURGBP"")"),30.509321661)</f>
        <v>30.509321661000001</v>
      </c>
      <c r="AB7" s="17" t="str">
        <f ca="1">IFERROR(__xludf.DUMMYFUNCTION("#REF!*GOOGLEFINANCE(""CURRENCY:EURGBP"")"),"#REF!")</f>
        <v>#REF!</v>
      </c>
      <c r="AC7" s="16">
        <v>185</v>
      </c>
      <c r="AD7" s="17">
        <f ca="1">IFERROR(__xludf.DUMMYFUNCTION("AC7*GOOGLEFINANCE(""CURRENCY:EURGBP"")"),161.263557351)</f>
        <v>161.263557351</v>
      </c>
      <c r="AE7" s="13">
        <v>24</v>
      </c>
      <c r="AF7" s="16">
        <v>4.97</v>
      </c>
      <c r="AG7" s="13">
        <v>12</v>
      </c>
      <c r="AH7" s="16">
        <v>4.97</v>
      </c>
      <c r="AI7" s="16">
        <v>1.52</v>
      </c>
      <c r="AJ7" s="13">
        <v>30</v>
      </c>
      <c r="AK7" s="17">
        <f ca="1">IFERROR(__xludf.DUMMYFUNCTION("AI7*GOOGLEFINANCE(""CURRENCY:EURGBP"")"),1.324976254992)</f>
        <v>1.3249762549919999</v>
      </c>
      <c r="AL7" s="19">
        <v>65</v>
      </c>
      <c r="AM7" s="13">
        <v>23</v>
      </c>
      <c r="AN7" s="12">
        <v>0</v>
      </c>
      <c r="AO7" s="13">
        <v>10</v>
      </c>
      <c r="AP7" s="12">
        <v>138</v>
      </c>
      <c r="AQ7" s="13">
        <v>26</v>
      </c>
      <c r="AR7" s="12">
        <v>21</v>
      </c>
      <c r="AS7" s="13">
        <v>23</v>
      </c>
    </row>
    <row r="8" spans="1:61" ht="12.75" x14ac:dyDescent="0.2">
      <c r="A8" s="8" t="s">
        <v>50</v>
      </c>
      <c r="B8" s="9">
        <f t="shared" si="0"/>
        <v>290</v>
      </c>
      <c r="C8" s="9">
        <v>450</v>
      </c>
      <c r="D8" s="9">
        <f t="shared" si="1"/>
        <v>64.444444444444443</v>
      </c>
      <c r="E8" s="10">
        <f t="shared" si="2"/>
        <v>6.4444444444444446</v>
      </c>
      <c r="F8" s="9">
        <v>28</v>
      </c>
      <c r="G8" s="11">
        <v>2773</v>
      </c>
      <c r="H8" s="11">
        <v>433.1</v>
      </c>
      <c r="I8" s="9">
        <v>29</v>
      </c>
      <c r="J8" s="12">
        <v>0.68</v>
      </c>
      <c r="K8" s="13">
        <v>23</v>
      </c>
      <c r="L8" s="12"/>
      <c r="M8" s="12">
        <v>3</v>
      </c>
      <c r="N8" s="13">
        <v>28</v>
      </c>
      <c r="O8" s="14">
        <v>0</v>
      </c>
      <c r="P8" s="13">
        <v>30</v>
      </c>
      <c r="Q8" s="15">
        <f ca="1">IFERROR(__xludf.DUMMYFUNCTION("O8*GOOGLEFINANCE(""CURRENCY:EURGBP"")"),0)</f>
        <v>0</v>
      </c>
      <c r="R8" s="20">
        <v>39</v>
      </c>
      <c r="S8" s="13">
        <v>4</v>
      </c>
      <c r="T8" s="16">
        <v>1315</v>
      </c>
      <c r="U8" s="17">
        <f ca="1">IFERROR(__xludf.DUMMYFUNCTION("T8*GOOGLEFINANCE(""CURRENCY:EURGBP"")"),1146.278799549)</f>
        <v>1146.278799549</v>
      </c>
      <c r="V8" s="13">
        <v>27</v>
      </c>
      <c r="W8" s="16">
        <v>377</v>
      </c>
      <c r="X8" s="13">
        <v>30</v>
      </c>
      <c r="Y8" s="17">
        <f ca="1">IFERROR(__xludf.DUMMYFUNCTION("W8*GOOGLEFINANCE(""CURRENCY:EURGBP"")"),328.6289790342)</f>
        <v>328.62897903419997</v>
      </c>
      <c r="Z8" s="16">
        <v>29</v>
      </c>
      <c r="AA8" s="17">
        <f ca="1">IFERROR(__xludf.DUMMYFUNCTION("Z8*GOOGLEFINANCE(""CURRENCY:EURGBP"")"),25.2791522333999)</f>
        <v>25.279152233399898</v>
      </c>
      <c r="AB8" s="17" t="str">
        <f ca="1">IFERROR(__xludf.DUMMYFUNCTION("#REF!*GOOGLEFINANCE(""CURRENCY:EURGBP"")"),"#REF!")</f>
        <v>#REF!</v>
      </c>
      <c r="AC8" s="16">
        <v>143</v>
      </c>
      <c r="AD8" s="17">
        <f ca="1">IFERROR(__xludf.DUMMYFUNCTION("AC8*GOOGLEFINANCE(""CURRENCY:EURGBP"")"),124.652371357799)</f>
        <v>124.652371357799</v>
      </c>
      <c r="AE8" s="13">
        <v>26</v>
      </c>
      <c r="AF8" s="16">
        <v>4.24</v>
      </c>
      <c r="AG8" s="13">
        <v>18</v>
      </c>
      <c r="AH8" s="17">
        <f ca="1">IFERROR(__xludf.DUMMYFUNCTION("AF8*GOOGLEFINANCE(""CURRENCY:EURGBP"")"),3.695986395504)</f>
        <v>3.6959863955040002</v>
      </c>
      <c r="AI8" s="24">
        <v>4.0599999999999996</v>
      </c>
      <c r="AJ8" s="13">
        <v>4</v>
      </c>
      <c r="AK8" s="17">
        <f ca="1">IFERROR(__xludf.DUMMYFUNCTION("AI8*GOOGLEFINANCE(""CURRENCY:EURGBP"")"),3.53908131267599)</f>
        <v>3.5390813126759899</v>
      </c>
      <c r="AL8" s="19">
        <v>21</v>
      </c>
      <c r="AM8" s="13">
        <v>9</v>
      </c>
      <c r="AN8" s="12">
        <v>0</v>
      </c>
      <c r="AO8" s="13">
        <v>11</v>
      </c>
      <c r="AP8" s="19">
        <v>27</v>
      </c>
      <c r="AQ8" s="13">
        <v>4</v>
      </c>
      <c r="AR8" s="12">
        <v>19</v>
      </c>
      <c r="AS8" s="13">
        <v>19</v>
      </c>
    </row>
    <row r="9" spans="1:61" ht="12.75" x14ac:dyDescent="0.2">
      <c r="A9" s="8" t="s">
        <v>51</v>
      </c>
      <c r="B9" s="9">
        <f t="shared" si="0"/>
        <v>288</v>
      </c>
      <c r="C9" s="9">
        <v>450</v>
      </c>
      <c r="D9" s="9">
        <f t="shared" si="1"/>
        <v>64</v>
      </c>
      <c r="E9" s="10">
        <f t="shared" si="2"/>
        <v>6.4</v>
      </c>
      <c r="F9" s="9">
        <v>20</v>
      </c>
      <c r="G9" s="11">
        <v>1915</v>
      </c>
      <c r="H9" s="25">
        <v>1162</v>
      </c>
      <c r="I9" s="9">
        <v>2</v>
      </c>
      <c r="J9" s="12">
        <v>0.48</v>
      </c>
      <c r="K9" s="13">
        <v>29</v>
      </c>
      <c r="L9" s="12"/>
      <c r="M9" s="21">
        <v>31</v>
      </c>
      <c r="N9" s="13">
        <v>10</v>
      </c>
      <c r="O9" s="14">
        <v>116</v>
      </c>
      <c r="P9" s="13">
        <v>18</v>
      </c>
      <c r="Q9" s="15">
        <f ca="1">IFERROR(__xludf.DUMMYFUNCTION("O9*GOOGLEFINANCE(""CURRENCY:EURGBP"")"),101.116608933599)</f>
        <v>101.116608933599</v>
      </c>
      <c r="R9" s="20">
        <v>53</v>
      </c>
      <c r="S9" s="13">
        <v>13</v>
      </c>
      <c r="T9" s="16">
        <v>2172</v>
      </c>
      <c r="U9" s="17"/>
      <c r="V9" s="13">
        <v>15</v>
      </c>
      <c r="W9" s="16">
        <v>729</v>
      </c>
      <c r="X9" s="13">
        <v>16</v>
      </c>
      <c r="Y9" s="17">
        <v>729</v>
      </c>
      <c r="Z9" s="16">
        <v>35</v>
      </c>
      <c r="AA9" s="17">
        <f ca="1">IFERROR(__xludf.DUMMYFUNCTION("Z9*GOOGLEFINANCE(""CURRENCY:EURGBP"")"),30.509321661)</f>
        <v>30.509321661000001</v>
      </c>
      <c r="AB9" s="17" t="str">
        <f ca="1">IFERROR(__xludf.DUMMYFUNCTION("#REF!*GOOGLEFINANCE(""CURRENCY:EURGBP"")"),"#REF!")</f>
        <v>#REF!</v>
      </c>
      <c r="AC9" s="23">
        <v>101.7</v>
      </c>
      <c r="AD9" s="17">
        <f ca="1">IFERROR(__xludf.DUMMYFUNCTION("AC9*GOOGLEFINANCE(""CURRENCY:EURGBP"")"),88.65137179782)</f>
        <v>88.651371797820005</v>
      </c>
      <c r="AE9" s="13">
        <v>25</v>
      </c>
      <c r="AF9" s="16">
        <v>5.13</v>
      </c>
      <c r="AG9" s="13">
        <v>11</v>
      </c>
      <c r="AH9" s="17">
        <f ca="1">IFERROR(__xludf.DUMMYFUNCTION("AF9*GOOGLEFINANCE(""CURRENCY:EURGBP"")"),4.471794860598)</f>
        <v>4.471794860598</v>
      </c>
      <c r="AI9" s="16">
        <v>1.62</v>
      </c>
      <c r="AJ9" s="13">
        <v>29</v>
      </c>
      <c r="AK9" s="17">
        <f ca="1">IFERROR(__xludf.DUMMYFUNCTION("AI9*GOOGLEFINANCE(""CURRENCY:EURGBP"")"),1.412145745452)</f>
        <v>1.4121457454519999</v>
      </c>
      <c r="AL9" s="19">
        <v>93</v>
      </c>
      <c r="AM9" s="13">
        <v>27</v>
      </c>
      <c r="AN9" s="12">
        <v>5</v>
      </c>
      <c r="AO9" s="13">
        <v>25</v>
      </c>
      <c r="AP9" s="12">
        <v>123</v>
      </c>
      <c r="AQ9" s="13">
        <v>24</v>
      </c>
      <c r="AR9" s="12">
        <v>22</v>
      </c>
      <c r="AS9" s="13">
        <v>24</v>
      </c>
    </row>
    <row r="10" spans="1:61" ht="12.75" x14ac:dyDescent="0.2">
      <c r="A10" s="8" t="s">
        <v>52</v>
      </c>
      <c r="B10" s="9">
        <f t="shared" si="0"/>
        <v>277</v>
      </c>
      <c r="C10" s="9">
        <v>450</v>
      </c>
      <c r="D10" s="9">
        <f t="shared" si="1"/>
        <v>61.55555555555555</v>
      </c>
      <c r="E10" s="10">
        <f t="shared" si="2"/>
        <v>6.155555555555555</v>
      </c>
      <c r="F10" s="9">
        <v>7</v>
      </c>
      <c r="G10" s="11">
        <v>1571</v>
      </c>
      <c r="H10" s="11">
        <v>529</v>
      </c>
      <c r="I10" s="9">
        <v>27</v>
      </c>
      <c r="J10" s="12">
        <v>0.69</v>
      </c>
      <c r="K10" s="13">
        <v>20</v>
      </c>
      <c r="L10" s="12"/>
      <c r="M10" s="12">
        <v>39</v>
      </c>
      <c r="N10" s="13">
        <v>7</v>
      </c>
      <c r="O10" s="14">
        <v>44</v>
      </c>
      <c r="P10" s="13">
        <v>28</v>
      </c>
      <c r="Q10" s="15">
        <f ca="1">IFERROR(__xludf.DUMMYFUNCTION("O10*GOOGLEFINANCE(""CURRENCY:EURGBP"")"),38.3545758024)</f>
        <v>38.354575802399999</v>
      </c>
      <c r="R10" s="20">
        <v>41</v>
      </c>
      <c r="S10" s="13">
        <v>6</v>
      </c>
      <c r="T10" s="16">
        <v>1445</v>
      </c>
      <c r="U10" s="17"/>
      <c r="V10" s="18">
        <v>24</v>
      </c>
      <c r="W10" s="16">
        <v>557</v>
      </c>
      <c r="X10" s="13">
        <v>26</v>
      </c>
      <c r="Y10" s="17"/>
      <c r="Z10" s="16">
        <v>24</v>
      </c>
      <c r="AA10" s="17">
        <f ca="1">IFERROR(__xludf.DUMMYFUNCTION("Z10*GOOGLEFINANCE(""CURRENCY:EURGBP"")"),20.9206777104)</f>
        <v>20.9206777104</v>
      </c>
      <c r="AB10" s="17" t="str">
        <f ca="1">IFERROR(__xludf.DUMMYFUNCTION("#REF!*GOOGLEFINANCE(""CURRENCY:EURGBP"")"),"#REF!")</f>
        <v>#REF!</v>
      </c>
      <c r="AC10" s="16">
        <v>93</v>
      </c>
      <c r="AD10" s="17">
        <f ca="1">IFERROR(__xludf.DUMMYFUNCTION("AC10*GOOGLEFINANCE(""CURRENCY:EURGBP"")"),81.0676261278)</f>
        <v>81.067626127799997</v>
      </c>
      <c r="AE10" s="13">
        <v>28</v>
      </c>
      <c r="AF10" s="16">
        <v>2.4900000000000002</v>
      </c>
      <c r="AG10" s="13">
        <v>24</v>
      </c>
      <c r="AH10" s="16">
        <v>2.4900000000000002</v>
      </c>
      <c r="AI10" s="16">
        <v>3.06</v>
      </c>
      <c r="AJ10" s="13">
        <v>17</v>
      </c>
      <c r="AK10" s="17">
        <f ca="1">IFERROR(__xludf.DUMMYFUNCTION("AI10*GOOGLEFINANCE(""CURRENCY:EURGBP"")"),2.667386408076)</f>
        <v>2.6673864080760001</v>
      </c>
      <c r="AL10" s="12">
        <v>13</v>
      </c>
      <c r="AM10" s="13">
        <v>5</v>
      </c>
      <c r="AN10" s="12">
        <v>5</v>
      </c>
      <c r="AO10" s="13">
        <v>26</v>
      </c>
      <c r="AP10" s="12">
        <v>58</v>
      </c>
      <c r="AQ10" s="13">
        <v>11</v>
      </c>
      <c r="AR10" s="12">
        <v>21</v>
      </c>
      <c r="AS10" s="13">
        <v>21</v>
      </c>
    </row>
    <row r="11" spans="1:61" ht="12.75" x14ac:dyDescent="0.2">
      <c r="A11" s="8" t="s">
        <v>53</v>
      </c>
      <c r="B11" s="9">
        <f t="shared" si="0"/>
        <v>272</v>
      </c>
      <c r="C11" s="9">
        <v>450</v>
      </c>
      <c r="D11" s="9">
        <f t="shared" si="1"/>
        <v>60.444444444444443</v>
      </c>
      <c r="E11" s="10">
        <f t="shared" si="2"/>
        <v>6.0444444444444443</v>
      </c>
      <c r="F11" s="9">
        <v>8</v>
      </c>
      <c r="G11" s="11">
        <v>1626</v>
      </c>
      <c r="H11" s="11">
        <v>515.20000000000005</v>
      </c>
      <c r="I11" s="9">
        <v>28</v>
      </c>
      <c r="J11" s="12">
        <v>0.86</v>
      </c>
      <c r="K11" s="13">
        <v>13</v>
      </c>
      <c r="L11" s="12"/>
      <c r="M11" s="21">
        <v>14</v>
      </c>
      <c r="N11" s="13">
        <v>21</v>
      </c>
      <c r="O11" s="14">
        <v>75</v>
      </c>
      <c r="P11" s="13">
        <v>24</v>
      </c>
      <c r="Q11" s="15">
        <f ca="1">IFERROR(__xludf.DUMMYFUNCTION("O11*GOOGLEFINANCE(""CURRENCY:EURGBP"")"),65.377117845)</f>
        <v>65.377117845000001</v>
      </c>
      <c r="R11" s="12">
        <v>48</v>
      </c>
      <c r="S11" s="13">
        <v>9</v>
      </c>
      <c r="T11" s="22">
        <v>1748</v>
      </c>
      <c r="U11" s="17"/>
      <c r="V11" s="18">
        <v>22</v>
      </c>
      <c r="W11" s="22">
        <v>1015</v>
      </c>
      <c r="X11" s="13">
        <v>9</v>
      </c>
      <c r="Y11" s="17">
        <v>1015</v>
      </c>
      <c r="Z11" s="22">
        <v>86</v>
      </c>
      <c r="AA11" s="17">
        <f ca="1">IFERROR(__xludf.DUMMYFUNCTION("Z11*GOOGLEFINANCE(""CURRENCY:EURGBP"")"),74.9657617956)</f>
        <v>74.965761795600002</v>
      </c>
      <c r="AB11" s="17" t="str">
        <f ca="1">IFERROR(__xludf.DUMMYFUNCTION("#REF!*GOOGLEFINANCE(""CURRENCY:EURGBP"")"),"#REF!")</f>
        <v>#REF!</v>
      </c>
      <c r="AC11" s="16">
        <v>163</v>
      </c>
      <c r="AD11" s="17">
        <f ca="1">IFERROR(__xludf.DUMMYFUNCTION("AC11*GOOGLEFINANCE(""CURRENCY:EURGBP"")"),142.0862694498)</f>
        <v>142.0862694498</v>
      </c>
      <c r="AE11" s="13">
        <v>7</v>
      </c>
      <c r="AF11" s="16">
        <v>3.86</v>
      </c>
      <c r="AG11" s="13">
        <v>21</v>
      </c>
      <c r="AH11" s="17">
        <f ca="1">IFERROR(__xludf.DUMMYFUNCTION("AF11*GOOGLEFINANCE(""CURRENCY:EURGBP"")"),3.36474233175599)</f>
        <v>3.3647423317559899</v>
      </c>
      <c r="AI11" s="16">
        <v>3.06</v>
      </c>
      <c r="AJ11" s="13">
        <v>16</v>
      </c>
      <c r="AK11" s="17">
        <f ca="1">IFERROR(__xludf.DUMMYFUNCTION("AI11*GOOGLEFINANCE(""CURRENCY:EURGBP"")"),2.667386408076)</f>
        <v>2.6673864080760001</v>
      </c>
      <c r="AL11" s="12">
        <v>74</v>
      </c>
      <c r="AM11" s="13">
        <v>25</v>
      </c>
      <c r="AN11" s="12">
        <v>11</v>
      </c>
      <c r="AO11" s="13">
        <v>28</v>
      </c>
      <c r="AP11" s="12">
        <v>96</v>
      </c>
      <c r="AQ11" s="13">
        <v>23</v>
      </c>
      <c r="AR11" s="12">
        <v>18</v>
      </c>
      <c r="AS11" s="13">
        <v>18</v>
      </c>
    </row>
    <row r="12" spans="1:61" ht="12.75" x14ac:dyDescent="0.2">
      <c r="A12" s="8" t="s">
        <v>54</v>
      </c>
      <c r="B12" s="9">
        <f t="shared" si="0"/>
        <v>260</v>
      </c>
      <c r="C12" s="9">
        <v>450</v>
      </c>
      <c r="D12" s="9">
        <f t="shared" si="1"/>
        <v>57.777777777777771</v>
      </c>
      <c r="E12" s="10">
        <f t="shared" si="2"/>
        <v>5.7777777777777777</v>
      </c>
      <c r="F12" s="9">
        <v>18</v>
      </c>
      <c r="G12" s="11">
        <v>1884</v>
      </c>
      <c r="H12" s="11">
        <v>651</v>
      </c>
      <c r="I12" s="9">
        <v>19</v>
      </c>
      <c r="J12" s="12">
        <v>0.61</v>
      </c>
      <c r="K12" s="13">
        <v>26</v>
      </c>
      <c r="L12" s="12">
        <v>6.9980000000000002</v>
      </c>
      <c r="M12" s="12">
        <v>15</v>
      </c>
      <c r="N12" s="13">
        <v>20</v>
      </c>
      <c r="O12" s="14">
        <v>160</v>
      </c>
      <c r="P12" s="13">
        <v>17</v>
      </c>
      <c r="Q12" s="15">
        <f ca="1">IFERROR(__xludf.DUMMYFUNCTION("O12*GOOGLEFINANCE(""CURRENCY:EURGBP"")"),139.471184736)</f>
        <v>139.471184736</v>
      </c>
      <c r="R12" s="20">
        <v>61</v>
      </c>
      <c r="S12" s="13">
        <v>17</v>
      </c>
      <c r="T12" s="16">
        <v>2196</v>
      </c>
      <c r="U12" s="17"/>
      <c r="V12" s="18">
        <v>14</v>
      </c>
      <c r="W12" s="16">
        <v>686</v>
      </c>
      <c r="X12" s="13">
        <v>21</v>
      </c>
      <c r="Y12" s="17"/>
      <c r="Z12" s="16">
        <v>48</v>
      </c>
      <c r="AA12" s="17">
        <f ca="1">IFERROR(__xludf.DUMMYFUNCTION("Z12*GOOGLEFINANCE(""CURRENCY:EURGBP"")"),41.8413554208)</f>
        <v>41.841355420799999</v>
      </c>
      <c r="AB12" s="17" t="str">
        <f ca="1">IFERROR(__xludf.DUMMYFUNCTION("#REF!*GOOGLEFINANCE(""CURRENCY:EURGBP"")"),"#REF!")</f>
        <v>#REF!</v>
      </c>
      <c r="AC12" s="16">
        <v>157</v>
      </c>
      <c r="AD12" s="17">
        <f ca="1">IFERROR(__xludf.DUMMYFUNCTION("AC12*GOOGLEFINANCE(""CURRENCY:EURGBP"")"),136.8561000222)</f>
        <v>136.8561000222</v>
      </c>
      <c r="AE12" s="13">
        <v>18</v>
      </c>
      <c r="AF12" s="16">
        <v>3.76</v>
      </c>
      <c r="AG12" s="13">
        <v>22</v>
      </c>
      <c r="AH12" s="17">
        <f ca="1">IFERROR(__xludf.DUMMYFUNCTION("AF12*GOOGLEFINANCE(""CURRENCY:EURGBP"")"),3.27757284129599)</f>
        <v>3.2775728412959899</v>
      </c>
      <c r="AI12" s="16">
        <v>3.63</v>
      </c>
      <c r="AJ12" s="13">
        <v>9</v>
      </c>
      <c r="AK12" s="17">
        <f ca="1">IFERROR(__xludf.DUMMYFUNCTION("AI12*GOOGLEFINANCE(""CURRENCY:EURGBP"")"),3.164252503698)</f>
        <v>3.164252503698</v>
      </c>
      <c r="AL12" s="19">
        <v>54</v>
      </c>
      <c r="AM12" s="13">
        <v>20</v>
      </c>
      <c r="AN12" s="12">
        <v>0</v>
      </c>
      <c r="AO12" s="13">
        <v>7</v>
      </c>
      <c r="AP12" s="12">
        <v>77</v>
      </c>
      <c r="AQ12" s="13">
        <v>18</v>
      </c>
      <c r="AR12" s="12">
        <v>14</v>
      </c>
      <c r="AS12" s="13">
        <v>14</v>
      </c>
    </row>
    <row r="13" spans="1:61" ht="12.75" x14ac:dyDescent="0.2">
      <c r="A13" s="8" t="s">
        <v>55</v>
      </c>
      <c r="B13" s="9">
        <f t="shared" si="0"/>
        <v>248</v>
      </c>
      <c r="C13" s="9">
        <v>450</v>
      </c>
      <c r="D13" s="9">
        <f t="shared" si="1"/>
        <v>55.111111111111114</v>
      </c>
      <c r="E13" s="10">
        <f t="shared" si="2"/>
        <v>5.511111111111112</v>
      </c>
      <c r="F13" s="9">
        <v>2</v>
      </c>
      <c r="G13" s="25">
        <v>1402</v>
      </c>
      <c r="H13" s="25">
        <v>675</v>
      </c>
      <c r="I13" s="9">
        <v>17</v>
      </c>
      <c r="J13" s="12">
        <v>0.69</v>
      </c>
      <c r="K13" s="13">
        <v>19</v>
      </c>
      <c r="L13" s="12"/>
      <c r="M13" s="21">
        <v>48</v>
      </c>
      <c r="N13" s="13">
        <v>4</v>
      </c>
      <c r="O13" s="14">
        <v>44</v>
      </c>
      <c r="P13" s="13">
        <v>27</v>
      </c>
      <c r="Q13" s="15">
        <f ca="1">IFERROR(__xludf.DUMMYFUNCTION("O13*GOOGLEFINANCE(""CURRENCY:EURGBP"")"),38.3545758024)</f>
        <v>38.354575802399999</v>
      </c>
      <c r="R13" s="20">
        <v>42</v>
      </c>
      <c r="S13" s="13">
        <v>7</v>
      </c>
      <c r="T13" s="16">
        <v>1107</v>
      </c>
      <c r="U13" s="17"/>
      <c r="V13" s="13">
        <v>29</v>
      </c>
      <c r="W13" s="16">
        <v>393</v>
      </c>
      <c r="X13" s="13">
        <v>29</v>
      </c>
      <c r="Y13" s="17"/>
      <c r="Z13" s="16">
        <v>28</v>
      </c>
      <c r="AA13" s="17">
        <f ca="1">IFERROR(__xludf.DUMMYFUNCTION("Z13*GOOGLEFINANCE(""CURRENCY:EURGBP"")"),24.4074573288)</f>
        <v>24.4074573288</v>
      </c>
      <c r="AB13" s="17" t="str">
        <f ca="1">IFERROR(__xludf.DUMMYFUNCTION("#REF!*GOOGLEFINANCE(""CURRENCY:EURGBP"")"),"#REF!")</f>
        <v>#REF!</v>
      </c>
      <c r="AC13" s="23">
        <v>65.59</v>
      </c>
      <c r="AD13" s="17">
        <f ca="1">IFERROR(__xludf.DUMMYFUNCTION("AC13*GOOGLEFINANCE(""CURRENCY:EURGBP"")"),57.174468792714)</f>
        <v>57.174468792714002</v>
      </c>
      <c r="AE13" s="13">
        <v>27</v>
      </c>
      <c r="AF13" s="16">
        <v>2.21</v>
      </c>
      <c r="AG13" s="13">
        <v>25</v>
      </c>
      <c r="AH13" s="17"/>
      <c r="AI13" s="16">
        <v>2.86</v>
      </c>
      <c r="AJ13" s="13">
        <v>19</v>
      </c>
      <c r="AK13" s="17">
        <f ca="1">IFERROR(__xludf.DUMMYFUNCTION("AI13*GOOGLEFINANCE(""CURRENCY:EURGBP"")"),2.49304742715599)</f>
        <v>2.4930474271559899</v>
      </c>
      <c r="AL13" s="12">
        <v>18</v>
      </c>
      <c r="AM13" s="13">
        <v>7</v>
      </c>
      <c r="AN13" s="12">
        <v>0</v>
      </c>
      <c r="AO13" s="13">
        <v>9</v>
      </c>
      <c r="AP13" s="12">
        <v>86</v>
      </c>
      <c r="AQ13" s="13">
        <v>21</v>
      </c>
      <c r="AR13" s="21">
        <v>1</v>
      </c>
      <c r="AS13" s="13">
        <v>6</v>
      </c>
    </row>
    <row r="14" spans="1:61" ht="12.75" x14ac:dyDescent="0.2">
      <c r="A14" s="8" t="s">
        <v>56</v>
      </c>
      <c r="B14" s="9">
        <f t="shared" si="0"/>
        <v>240</v>
      </c>
      <c r="C14" s="9">
        <v>450</v>
      </c>
      <c r="D14" s="9">
        <f t="shared" si="1"/>
        <v>53.333333333333336</v>
      </c>
      <c r="E14" s="10">
        <f t="shared" si="2"/>
        <v>5.3333333333333339</v>
      </c>
      <c r="F14" s="9">
        <v>5</v>
      </c>
      <c r="G14" s="11">
        <v>1546</v>
      </c>
      <c r="H14" s="11">
        <v>848</v>
      </c>
      <c r="I14" s="9">
        <v>8</v>
      </c>
      <c r="J14" s="12">
        <v>1.23</v>
      </c>
      <c r="K14" s="13">
        <v>4</v>
      </c>
      <c r="L14" s="12">
        <v>6.6740000000000004</v>
      </c>
      <c r="M14" s="12">
        <v>23</v>
      </c>
      <c r="N14" s="13">
        <v>13</v>
      </c>
      <c r="O14" s="14">
        <v>180</v>
      </c>
      <c r="P14" s="13">
        <v>16</v>
      </c>
      <c r="Q14" s="15">
        <f ca="1">IFERROR(__xludf.DUMMYFUNCTION("O14*GOOGLEFINANCE(""CURRENCY:EURGBP"")"),156.905082828)</f>
        <v>156.90508282799999</v>
      </c>
      <c r="R14" s="20">
        <v>58</v>
      </c>
      <c r="S14" s="13">
        <v>15</v>
      </c>
      <c r="T14" s="16">
        <v>1801</v>
      </c>
      <c r="U14" s="17"/>
      <c r="V14" s="13">
        <v>19</v>
      </c>
      <c r="W14" s="16">
        <v>689</v>
      </c>
      <c r="X14" s="13">
        <v>20</v>
      </c>
      <c r="Y14" s="17"/>
      <c r="Z14" s="16">
        <v>50</v>
      </c>
      <c r="AA14" s="17">
        <f ca="1">IFERROR(__xludf.DUMMYFUNCTION("Z14*GOOGLEFINANCE(""CURRENCY:EURGBP"")"),43.5847452299999)</f>
        <v>43.584745229999903</v>
      </c>
      <c r="AB14" s="17" t="str">
        <f ca="1">IFERROR(__xludf.DUMMYFUNCTION("#REF!*GOOGLEFINANCE(""CURRENCY:EURGBP"")"),"#REF!")</f>
        <v>#REF!</v>
      </c>
      <c r="AC14" s="16">
        <v>157</v>
      </c>
      <c r="AD14" s="17">
        <f ca="1">IFERROR(__xludf.DUMMYFUNCTION("AC14*GOOGLEFINANCE(""CURRENCY:EURGBP"")"),136.8561000222)</f>
        <v>136.8561000222</v>
      </c>
      <c r="AE14" s="13">
        <v>17</v>
      </c>
      <c r="AF14" s="16">
        <v>3.87</v>
      </c>
      <c r="AG14" s="13">
        <v>20</v>
      </c>
      <c r="AH14" s="17">
        <f ca="1">IFERROR(__xludf.DUMMYFUNCTION("AF14*GOOGLEFINANCE(""CURRENCY:EURGBP"")"),3.373459280802)</f>
        <v>3.3734592808019999</v>
      </c>
      <c r="AI14" s="16">
        <v>3.44</v>
      </c>
      <c r="AJ14" s="13">
        <v>12</v>
      </c>
      <c r="AK14" s="17">
        <f ca="1">IFERROR(__xludf.DUMMYFUNCTION("AI14*GOOGLEFINANCE(""CURRENCY:EURGBP"")"),2.99863047182399)</f>
        <v>2.99863047182399</v>
      </c>
      <c r="AL14" s="12">
        <v>37</v>
      </c>
      <c r="AM14" s="13">
        <v>17</v>
      </c>
      <c r="AN14" s="12">
        <v>2</v>
      </c>
      <c r="AO14" s="13">
        <v>19</v>
      </c>
      <c r="AP14" s="12">
        <v>162</v>
      </c>
      <c r="AQ14" s="13">
        <v>28</v>
      </c>
      <c r="AR14" s="12">
        <v>28</v>
      </c>
      <c r="AS14" s="13">
        <v>27</v>
      </c>
    </row>
    <row r="15" spans="1:61" ht="12.75" x14ac:dyDescent="0.2">
      <c r="A15" s="8" t="s">
        <v>57</v>
      </c>
      <c r="B15" s="9">
        <f t="shared" si="0"/>
        <v>231</v>
      </c>
      <c r="C15" s="9">
        <v>450</v>
      </c>
      <c r="D15" s="9">
        <f t="shared" si="1"/>
        <v>51.333333333333329</v>
      </c>
      <c r="E15" s="10">
        <f t="shared" si="2"/>
        <v>5.1333333333333329</v>
      </c>
      <c r="F15" s="9">
        <v>11</v>
      </c>
      <c r="G15" s="11">
        <v>1662</v>
      </c>
      <c r="H15" s="11">
        <v>637.4</v>
      </c>
      <c r="I15" s="9">
        <v>21</v>
      </c>
      <c r="J15" s="12">
        <v>1.31</v>
      </c>
      <c r="K15" s="13">
        <v>3</v>
      </c>
      <c r="L15" s="12">
        <v>6.6349999999999998</v>
      </c>
      <c r="M15" s="12">
        <v>16</v>
      </c>
      <c r="N15" s="13">
        <v>19</v>
      </c>
      <c r="O15" s="14">
        <v>99</v>
      </c>
      <c r="P15" s="13">
        <v>23</v>
      </c>
      <c r="Q15" s="15">
        <f ca="1">IFERROR(__xludf.DUMMYFUNCTION("O15*GOOGLEFINANCE(""CURRENCY:EURGBP"")"),86.2977955554)</f>
        <v>86.2977955554</v>
      </c>
      <c r="R15" s="19">
        <v>52</v>
      </c>
      <c r="S15" s="13">
        <v>12</v>
      </c>
      <c r="T15" s="16">
        <v>3293</v>
      </c>
      <c r="U15" s="17"/>
      <c r="V15" s="18">
        <v>2</v>
      </c>
      <c r="W15" s="16">
        <v>1172</v>
      </c>
      <c r="X15" s="13">
        <v>6</v>
      </c>
      <c r="Y15" s="17"/>
      <c r="Z15" s="16">
        <v>74</v>
      </c>
      <c r="AA15" s="17">
        <f ca="1">IFERROR(__xludf.DUMMYFUNCTION("Z15*GOOGLEFINANCE(""CURRENCY:EURGBP"")"),64.5054229404)</f>
        <v>64.505422940399995</v>
      </c>
      <c r="AB15" s="17" t="str">
        <f ca="1">IFERROR(__xludf.DUMMYFUNCTION("#REF!*GOOGLEFINANCE(""CURRENCY:EURGBP"")"),"#REF!")</f>
        <v>#REF!</v>
      </c>
      <c r="AC15" s="16">
        <v>270</v>
      </c>
      <c r="AD15" s="17">
        <f ca="1">IFERROR(__xludf.DUMMYFUNCTION("AC15*GOOGLEFINANCE(""CURRENCY:EURGBP"")"),235.357624241999)</f>
        <v>235.35762424199899</v>
      </c>
      <c r="AE15" s="13">
        <v>10</v>
      </c>
      <c r="AF15" s="16">
        <v>6.65</v>
      </c>
      <c r="AG15" s="13">
        <v>4</v>
      </c>
      <c r="AH15" s="17">
        <f ca="1">IFERROR(__xludf.DUMMYFUNCTION("AF15*GOOGLEFINANCE(""CURRENCY:EURGBP"")"),5.79677111559)</f>
        <v>5.7967711155900004</v>
      </c>
      <c r="AI15" s="16">
        <v>4.4400000000000004</v>
      </c>
      <c r="AJ15" s="13">
        <v>3</v>
      </c>
      <c r="AK15" s="17">
        <f ca="1">IFERROR(__xludf.DUMMYFUNCTION("AI15*GOOGLEFINANCE(""CURRENCY:EURGBP"")"),3.870325376424)</f>
        <v>3.8703253764240002</v>
      </c>
      <c r="AL15" s="19">
        <v>426</v>
      </c>
      <c r="AM15" s="13">
        <v>30</v>
      </c>
      <c r="AN15" s="12">
        <v>16</v>
      </c>
      <c r="AO15" s="13">
        <v>29</v>
      </c>
      <c r="AP15" s="12">
        <v>299</v>
      </c>
      <c r="AQ15" s="13">
        <v>30</v>
      </c>
      <c r="AR15" s="12">
        <v>41</v>
      </c>
      <c r="AS15" s="13">
        <v>28</v>
      </c>
    </row>
    <row r="16" spans="1:61" ht="12.75" x14ac:dyDescent="0.2">
      <c r="A16" s="8" t="s">
        <v>58</v>
      </c>
      <c r="B16" s="9">
        <f t="shared" si="0"/>
        <v>231</v>
      </c>
      <c r="C16" s="9">
        <v>450</v>
      </c>
      <c r="D16" s="9">
        <f t="shared" si="1"/>
        <v>51.333333333333329</v>
      </c>
      <c r="E16" s="10">
        <f t="shared" si="2"/>
        <v>5.1333333333333329</v>
      </c>
      <c r="F16" s="9">
        <v>29</v>
      </c>
      <c r="G16" s="25">
        <v>2780</v>
      </c>
      <c r="H16" s="25">
        <v>1007</v>
      </c>
      <c r="I16" s="9">
        <v>5</v>
      </c>
      <c r="J16" s="12">
        <v>0.68</v>
      </c>
      <c r="K16" s="13">
        <v>21</v>
      </c>
      <c r="L16" s="12"/>
      <c r="M16" s="21">
        <v>58</v>
      </c>
      <c r="N16" s="13">
        <v>1</v>
      </c>
      <c r="O16" s="14">
        <v>0</v>
      </c>
      <c r="P16" s="13">
        <v>29</v>
      </c>
      <c r="Q16" s="15">
        <f ca="1">IFERROR(__xludf.DUMMYFUNCTION("O16*GOOGLEFINANCE(""CURRENCY:EURGBP"")"),0)</f>
        <v>0</v>
      </c>
      <c r="R16" s="20">
        <v>17</v>
      </c>
      <c r="S16" s="13">
        <v>1</v>
      </c>
      <c r="T16" s="24">
        <v>975</v>
      </c>
      <c r="U16" s="17">
        <f ca="1">IFERROR(__xludf.DUMMYFUNCTION("T16*GOOGLEFINANCE(""CURRENCY:EURGBP"")"),849.902531985)</f>
        <v>849.902531985</v>
      </c>
      <c r="V16" s="18">
        <v>30</v>
      </c>
      <c r="W16" s="24">
        <v>454.5</v>
      </c>
      <c r="X16" s="13">
        <v>27</v>
      </c>
      <c r="Y16" s="17">
        <f ca="1">IFERROR(__xludf.DUMMYFUNCTION("W16*GOOGLEFINANCE(""CURRENCY:EURGBP"")"),396.1853341407)</f>
        <v>396.18533414069998</v>
      </c>
      <c r="Z16" s="23">
        <v>60</v>
      </c>
      <c r="AA16" s="17">
        <f ca="1">IFERROR(__xludf.DUMMYFUNCTION("Z16*GOOGLEFINANCE(""CURRENCY:EURGBP"")"),52.301694276)</f>
        <v>52.301694275999999</v>
      </c>
      <c r="AB16" s="17" t="str">
        <f ca="1">IFERROR(__xludf.DUMMYFUNCTION("#REF!*GOOGLEFINANCE(""CURRENCY:EURGBP"")"),"#REF!")</f>
        <v>#REF!</v>
      </c>
      <c r="AC16" s="23">
        <v>92</v>
      </c>
      <c r="AD16" s="17">
        <f ca="1">IFERROR(__xludf.DUMMYFUNCTION("AC16*GOOGLEFINANCE(""CURRENCY:EURGBP"")"),80.1959312232)</f>
        <v>80.195931223200006</v>
      </c>
      <c r="AE16" s="13">
        <v>13</v>
      </c>
      <c r="AF16" s="16">
        <v>4.79</v>
      </c>
      <c r="AG16" s="13">
        <v>14</v>
      </c>
      <c r="AH16" s="17">
        <f ca="1">IFERROR(__xludf.DUMMYFUNCTION("AF16*GOOGLEFINANCE(""CURRENCY:EURGBP"")"),4.175418593034)</f>
        <v>4.1754185930340002</v>
      </c>
      <c r="AI16" s="23">
        <v>1.95</v>
      </c>
      <c r="AJ16" s="13">
        <v>28</v>
      </c>
      <c r="AK16" s="17">
        <f ca="1">IFERROR(__xludf.DUMMYFUNCTION("AI16*GOOGLEFINANCE(""CURRENCY:EURGBP"")"),1.69980506397)</f>
        <v>1.69980506397</v>
      </c>
      <c r="AL16" s="12">
        <v>0</v>
      </c>
      <c r="AM16" s="13">
        <v>1</v>
      </c>
      <c r="AN16" s="12">
        <v>0</v>
      </c>
      <c r="AO16" s="13">
        <v>13</v>
      </c>
      <c r="AP16" s="12">
        <v>75</v>
      </c>
      <c r="AQ16" s="13">
        <v>16</v>
      </c>
      <c r="AR16" s="12">
        <v>0</v>
      </c>
      <c r="AS16" s="13">
        <v>3</v>
      </c>
    </row>
    <row r="17" spans="1:45" ht="12.75" x14ac:dyDescent="0.2">
      <c r="A17" s="8" t="s">
        <v>59</v>
      </c>
      <c r="B17" s="9">
        <f t="shared" si="0"/>
        <v>226</v>
      </c>
      <c r="C17" s="9">
        <v>450</v>
      </c>
      <c r="D17" s="9">
        <f t="shared" si="1"/>
        <v>50.222222222222221</v>
      </c>
      <c r="E17" s="10">
        <f t="shared" si="2"/>
        <v>5.0222222222222221</v>
      </c>
      <c r="F17" s="9">
        <v>22</v>
      </c>
      <c r="G17" s="11">
        <v>2468</v>
      </c>
      <c r="H17" s="11">
        <v>1237</v>
      </c>
      <c r="I17" s="9">
        <v>1</v>
      </c>
      <c r="J17" s="12">
        <v>0.79</v>
      </c>
      <c r="K17" s="13">
        <v>15</v>
      </c>
      <c r="L17" s="12"/>
      <c r="M17" s="21">
        <v>56</v>
      </c>
      <c r="N17" s="13">
        <v>2</v>
      </c>
      <c r="O17" s="14">
        <v>245</v>
      </c>
      <c r="P17" s="13">
        <v>12</v>
      </c>
      <c r="Q17" s="15">
        <f ca="1">IFERROR(__xludf.DUMMYFUNCTION("O17*GOOGLEFINANCE(""CURRENCY:EURGBP"")"),213.565251627)</f>
        <v>213.56525162700001</v>
      </c>
      <c r="R17" s="20">
        <v>94</v>
      </c>
      <c r="S17" s="13">
        <v>25</v>
      </c>
      <c r="T17" s="16">
        <v>1354</v>
      </c>
      <c r="U17" s="17"/>
      <c r="V17" s="18">
        <v>26</v>
      </c>
      <c r="W17" s="16">
        <v>603</v>
      </c>
      <c r="X17" s="13">
        <v>24</v>
      </c>
      <c r="Y17" s="17"/>
      <c r="Z17" s="16">
        <v>36</v>
      </c>
      <c r="AA17" s="17">
        <f ca="1">IFERROR(__xludf.DUMMYFUNCTION("Z17*GOOGLEFINANCE(""CURRENCY:EURGBP"")"),31.3810165656)</f>
        <v>31.3810165656</v>
      </c>
      <c r="AB17" s="17" t="str">
        <f ca="1">IFERROR(__xludf.DUMMYFUNCTION("#REF!*GOOGLEFINANCE(""CURRENCY:EURGBP"")"),"#REF!")</f>
        <v>#REF!</v>
      </c>
      <c r="AC17" s="23">
        <v>103</v>
      </c>
      <c r="AD17" s="17">
        <f ca="1">IFERROR(__xludf.DUMMYFUNCTION("AC17*GOOGLEFINANCE(""CURRENCY:EURGBP"")"),89.7845751738)</f>
        <v>89.784575173799993</v>
      </c>
      <c r="AE17" s="13">
        <v>23</v>
      </c>
      <c r="AF17" s="16">
        <v>1.92</v>
      </c>
      <c r="AG17" s="13">
        <v>27</v>
      </c>
      <c r="AH17" s="17"/>
      <c r="AI17" s="16">
        <v>2.5299999999999998</v>
      </c>
      <c r="AJ17" s="13">
        <v>24</v>
      </c>
      <c r="AK17" s="17">
        <f ca="1">IFERROR(__xludf.DUMMYFUNCTION("AI17*GOOGLEFINANCE(""CURRENCY:EURGBP"")"),2.20538810863799)</f>
        <v>2.2053881086379898</v>
      </c>
      <c r="AL17" s="12">
        <v>16</v>
      </c>
      <c r="AM17" s="13">
        <v>6</v>
      </c>
      <c r="AN17" s="12">
        <v>0</v>
      </c>
      <c r="AO17" s="13">
        <v>3</v>
      </c>
      <c r="AP17" s="12">
        <v>44</v>
      </c>
      <c r="AQ17" s="13">
        <v>9</v>
      </c>
      <c r="AR17" s="12">
        <v>4</v>
      </c>
      <c r="AS17" s="13">
        <v>7</v>
      </c>
    </row>
    <row r="18" spans="1:45" ht="12.75" x14ac:dyDescent="0.2">
      <c r="A18" s="8" t="s">
        <v>60</v>
      </c>
      <c r="B18" s="9">
        <f t="shared" si="0"/>
        <v>220</v>
      </c>
      <c r="C18" s="9">
        <v>450</v>
      </c>
      <c r="D18" s="9">
        <f t="shared" si="1"/>
        <v>48.888888888888886</v>
      </c>
      <c r="E18" s="10">
        <f t="shared" si="2"/>
        <v>4.8888888888888893</v>
      </c>
      <c r="F18" s="9">
        <v>24</v>
      </c>
      <c r="G18" s="25">
        <v>2551</v>
      </c>
      <c r="H18" s="25">
        <v>740</v>
      </c>
      <c r="I18" s="9">
        <v>15</v>
      </c>
      <c r="J18" s="12">
        <v>1.31</v>
      </c>
      <c r="K18" s="13">
        <v>2</v>
      </c>
      <c r="L18" s="12"/>
      <c r="M18" s="21">
        <v>18</v>
      </c>
      <c r="N18" s="13">
        <v>17</v>
      </c>
      <c r="O18" s="14">
        <v>99</v>
      </c>
      <c r="P18" s="13">
        <v>22</v>
      </c>
      <c r="Q18" s="15">
        <f ca="1">IFERROR(__xludf.DUMMYFUNCTION("O18*GOOGLEFINANCE(""CURRENCY:EURGBP"")"),86.2977955554)</f>
        <v>86.2977955554</v>
      </c>
      <c r="R18" s="12">
        <v>63</v>
      </c>
      <c r="S18" s="13">
        <v>18</v>
      </c>
      <c r="T18" s="16">
        <v>1940</v>
      </c>
      <c r="U18" s="17"/>
      <c r="V18" s="13">
        <v>17</v>
      </c>
      <c r="W18" s="16">
        <v>632</v>
      </c>
      <c r="X18" s="13">
        <v>22</v>
      </c>
      <c r="Y18" s="17">
        <f ca="1">IFERROR(__xludf.DUMMYFUNCTION("W18*GOOGLEFINANCE(""CURRENCY:EURGBP"")"),550.9111797072)</f>
        <v>550.91117970719995</v>
      </c>
      <c r="Z18" s="23">
        <v>40.799999999999997</v>
      </c>
      <c r="AA18" s="17">
        <f ca="1">IFERROR(__xludf.DUMMYFUNCTION("Z18*GOOGLEFINANCE(""CURRENCY:EURGBP"")"),35.56515210768)</f>
        <v>35.565152107679999</v>
      </c>
      <c r="AB18" s="17" t="str">
        <f ca="1">IFERROR(__xludf.DUMMYFUNCTION("#REF!*GOOGLEFINANCE(""CURRENCY:EURGBP"")"),"#REF!")</f>
        <v>#REF!</v>
      </c>
      <c r="AC18" s="23">
        <v>94</v>
      </c>
      <c r="AD18" s="17">
        <f ca="1">IFERROR(__xludf.DUMMYFUNCTION("AC18*GOOGLEFINANCE(""CURRENCY:EURGBP"")"),81.9393210324)</f>
        <v>81.939321032400002</v>
      </c>
      <c r="AE18" s="13">
        <v>20</v>
      </c>
      <c r="AF18" s="16">
        <v>5.8</v>
      </c>
      <c r="AG18" s="13">
        <v>9</v>
      </c>
      <c r="AH18" s="17">
        <f ca="1">IFERROR(__xludf.DUMMYFUNCTION("AF18*GOOGLEFINANCE(""CURRENCY:EURGBP"")"),5.05583044668)</f>
        <v>5.0558304466799999</v>
      </c>
      <c r="AI18" s="16">
        <v>2.6</v>
      </c>
      <c r="AJ18" s="13">
        <v>22</v>
      </c>
      <c r="AK18" s="17">
        <f ca="1">IFERROR(__xludf.DUMMYFUNCTION("AI18*GOOGLEFINANCE(""CURRENCY:EURGBP"")"),2.26640675196)</f>
        <v>2.26640675196</v>
      </c>
      <c r="AL18" s="12">
        <v>27</v>
      </c>
      <c r="AM18" s="13">
        <v>14</v>
      </c>
      <c r="AN18" s="12">
        <v>0</v>
      </c>
      <c r="AO18" s="13">
        <v>6</v>
      </c>
      <c r="AP18" s="12">
        <v>41</v>
      </c>
      <c r="AQ18" s="13">
        <v>8</v>
      </c>
      <c r="AR18" s="21">
        <v>1</v>
      </c>
      <c r="AS18" s="13">
        <v>4</v>
      </c>
    </row>
    <row r="19" spans="1:45" ht="12.75" x14ac:dyDescent="0.2">
      <c r="A19" s="8" t="s">
        <v>61</v>
      </c>
      <c r="B19" s="9">
        <f t="shared" si="0"/>
        <v>218</v>
      </c>
      <c r="C19" s="9">
        <v>450</v>
      </c>
      <c r="D19" s="9">
        <f t="shared" si="1"/>
        <v>48.444444444444443</v>
      </c>
      <c r="E19" s="10">
        <f t="shared" si="2"/>
        <v>4.844444444444445</v>
      </c>
      <c r="F19" s="9">
        <v>12</v>
      </c>
      <c r="G19" s="11">
        <v>1662</v>
      </c>
      <c r="H19" s="11">
        <v>629</v>
      </c>
      <c r="I19" s="9">
        <v>22</v>
      </c>
      <c r="J19" s="12">
        <v>0.86</v>
      </c>
      <c r="K19" s="13">
        <v>12</v>
      </c>
      <c r="L19" s="12"/>
      <c r="M19" s="21">
        <v>7</v>
      </c>
      <c r="N19" s="13">
        <v>25</v>
      </c>
      <c r="O19" s="14">
        <v>75</v>
      </c>
      <c r="P19" s="13">
        <v>26</v>
      </c>
      <c r="Q19" s="15">
        <f ca="1">IFERROR(__xludf.DUMMYFUNCTION("O19*GOOGLEFINANCE(""CURRENCY:EURGBP"")"),65.377117845)</f>
        <v>65.377117845000001</v>
      </c>
      <c r="R19" s="12">
        <v>57</v>
      </c>
      <c r="S19" s="13">
        <v>14</v>
      </c>
      <c r="T19" s="16">
        <v>2563</v>
      </c>
      <c r="U19" s="17"/>
      <c r="V19" s="13">
        <v>11</v>
      </c>
      <c r="W19" s="16">
        <v>827</v>
      </c>
      <c r="X19" s="13">
        <v>14</v>
      </c>
      <c r="Y19" s="17"/>
      <c r="Z19" s="16">
        <v>88</v>
      </c>
      <c r="AA19" s="17">
        <v>88</v>
      </c>
      <c r="AB19" s="17" t="str">
        <f ca="1">IFERROR(__xludf.DUMMYFUNCTION("#REF!*GOOGLEFINANCE(""CURRENCY:EURGBP"")"),"#REF!")</f>
        <v>#REF!</v>
      </c>
      <c r="AC19" s="23">
        <v>71</v>
      </c>
      <c r="AD19" s="17">
        <f ca="1">IFERROR(__xludf.DUMMYFUNCTION("AC19*GOOGLEFINANCE(""CURRENCY:EURGBP"")"),61.8903382266)</f>
        <v>61.890338226600001</v>
      </c>
      <c r="AE19" s="13">
        <v>6</v>
      </c>
      <c r="AF19" s="16">
        <v>4</v>
      </c>
      <c r="AG19" s="13">
        <v>19</v>
      </c>
      <c r="AH19" s="17">
        <f ca="1">IFERROR(__xludf.DUMMYFUNCTION("AF19*GOOGLEFINANCE(""CURRENCY:EURGBP"")"),3.4867796184)</f>
        <v>3.4867796183999999</v>
      </c>
      <c r="AI19" s="16">
        <v>3.18</v>
      </c>
      <c r="AJ19" s="13">
        <v>13</v>
      </c>
      <c r="AK19" s="17">
        <f ca="1">IFERROR(__xludf.DUMMYFUNCTION("AI19*GOOGLEFINANCE(""CURRENCY:EURGBP"")"),2.771989796628)</f>
        <v>2.771989796628</v>
      </c>
      <c r="AL19" s="12">
        <v>22</v>
      </c>
      <c r="AM19" s="13">
        <v>11</v>
      </c>
      <c r="AN19" s="12">
        <v>2</v>
      </c>
      <c r="AO19" s="13">
        <v>20</v>
      </c>
      <c r="AP19" s="12">
        <v>20</v>
      </c>
      <c r="AQ19" s="13">
        <v>1</v>
      </c>
      <c r="AR19" s="12">
        <v>14</v>
      </c>
      <c r="AS19" s="13">
        <v>12</v>
      </c>
    </row>
    <row r="20" spans="1:45" ht="12.75" x14ac:dyDescent="0.2">
      <c r="A20" s="8" t="s">
        <v>62</v>
      </c>
      <c r="B20" s="9">
        <f t="shared" si="0"/>
        <v>209</v>
      </c>
      <c r="C20" s="9">
        <v>450</v>
      </c>
      <c r="D20" s="9">
        <f t="shared" si="1"/>
        <v>46.444444444444443</v>
      </c>
      <c r="E20" s="10">
        <f t="shared" si="2"/>
        <v>4.6444444444444448</v>
      </c>
      <c r="F20" s="9">
        <v>10</v>
      </c>
      <c r="G20" s="11">
        <v>1662</v>
      </c>
      <c r="H20" s="11">
        <v>838.2</v>
      </c>
      <c r="I20" s="9">
        <v>10</v>
      </c>
      <c r="J20" s="12">
        <v>0.7</v>
      </c>
      <c r="K20" s="13">
        <v>18</v>
      </c>
      <c r="M20" s="12">
        <v>24</v>
      </c>
      <c r="N20" s="13">
        <v>12</v>
      </c>
      <c r="O20" s="14">
        <v>1348</v>
      </c>
      <c r="P20" s="13">
        <v>5</v>
      </c>
      <c r="Q20" s="15">
        <f ca="1">IFERROR(__xludf.DUMMYFUNCTION("O20*GOOGLEFINANCE(""CURRENCY:EURGBP"")"),1175.0447314008)</f>
        <v>1175.0447314007999</v>
      </c>
      <c r="R20" s="20">
        <v>103</v>
      </c>
      <c r="S20" s="13">
        <v>29</v>
      </c>
      <c r="T20" s="16">
        <v>2885</v>
      </c>
      <c r="U20" s="17">
        <f ca="1">IFERROR(__xludf.DUMMYFUNCTION("T20*GOOGLEFINANCE(""CURRENCY:EURGBP"")"),2514.839799771)</f>
        <v>2514.8397997709999</v>
      </c>
      <c r="V20" s="18">
        <v>8</v>
      </c>
      <c r="W20" s="16">
        <v>1237</v>
      </c>
      <c r="X20" s="13">
        <v>4</v>
      </c>
      <c r="Y20" s="17">
        <f ca="1">IFERROR(__xludf.DUMMYFUNCTION("W20*GOOGLEFINANCE(""CURRENCY:EURGBP"")"),1078.2865969902)</f>
        <v>1078.2865969902</v>
      </c>
      <c r="Z20" s="16">
        <v>93</v>
      </c>
      <c r="AA20" s="17">
        <f ca="1">IFERROR(__xludf.DUMMYFUNCTION("Z20*GOOGLEFINANCE(""CURRENCY:EURGBP"")"),81.0676261278)</f>
        <v>81.067626127799997</v>
      </c>
      <c r="AB20" s="17" t="str">
        <f ca="1">IFERROR(__xludf.DUMMYFUNCTION("#REF!*GOOGLEFINANCE(""CURRENCY:EURGBP"")"),"#REF!")</f>
        <v>#REF!</v>
      </c>
      <c r="AC20" s="16">
        <v>243</v>
      </c>
      <c r="AD20" s="17">
        <f ca="1">IFERROR(__xludf.DUMMYFUNCTION("AC20*GOOGLEFINANCE(""CURRENCY:EURGBP"")"),211.8218618178)</f>
        <v>211.8218618178</v>
      </c>
      <c r="AE20" s="13">
        <v>3</v>
      </c>
      <c r="AF20" s="16">
        <v>4.79</v>
      </c>
      <c r="AG20" s="13">
        <v>13</v>
      </c>
      <c r="AH20" s="17">
        <f ca="1">IFERROR(__xludf.DUMMYFUNCTION("AF20*GOOGLEFINANCE(""CURRENCY:EURGBP"")"),4.175418593034)</f>
        <v>4.1754185930340002</v>
      </c>
      <c r="AI20" s="16">
        <v>3.11</v>
      </c>
      <c r="AJ20" s="13">
        <v>14</v>
      </c>
      <c r="AK20" s="17">
        <f ca="1">IFERROR(__xludf.DUMMYFUNCTION("AI20*GOOGLEFINANCE(""CURRENCY:EURGBP"")"),2.71097115330599)</f>
        <v>2.7109711533059899</v>
      </c>
      <c r="AL20" s="19">
        <v>93</v>
      </c>
      <c r="AM20" s="13">
        <v>26</v>
      </c>
      <c r="AN20" s="12">
        <v>4</v>
      </c>
      <c r="AO20" s="13">
        <v>23</v>
      </c>
      <c r="AP20" s="19">
        <v>58</v>
      </c>
      <c r="AQ20" s="13">
        <v>12</v>
      </c>
      <c r="AR20" s="12">
        <v>21</v>
      </c>
      <c r="AS20" s="13">
        <v>22</v>
      </c>
    </row>
    <row r="21" spans="1:45" ht="12.75" x14ac:dyDescent="0.2">
      <c r="A21" s="8" t="s">
        <v>63</v>
      </c>
      <c r="B21" s="9">
        <f t="shared" si="0"/>
        <v>208</v>
      </c>
      <c r="C21" s="9">
        <v>450</v>
      </c>
      <c r="D21" s="9">
        <f t="shared" si="1"/>
        <v>46.222222222222221</v>
      </c>
      <c r="E21" s="10">
        <f t="shared" si="2"/>
        <v>4.6222222222222227</v>
      </c>
      <c r="F21" s="9">
        <v>9</v>
      </c>
      <c r="G21" s="11">
        <v>1633</v>
      </c>
      <c r="H21" s="11">
        <v>601.70000000000005</v>
      </c>
      <c r="I21" s="9">
        <v>23</v>
      </c>
      <c r="J21" s="12">
        <v>1.2</v>
      </c>
      <c r="K21" s="13">
        <v>8</v>
      </c>
      <c r="L21" s="12">
        <v>6.782</v>
      </c>
      <c r="M21" s="12">
        <v>33</v>
      </c>
      <c r="N21" s="13">
        <v>9</v>
      </c>
      <c r="O21" s="14">
        <v>2373</v>
      </c>
      <c r="P21" s="13">
        <v>1</v>
      </c>
      <c r="Q21" s="15">
        <f ca="1">IFERROR(__xludf.DUMMYFUNCTION("O21*GOOGLEFINANCE(""CURRENCY:EURGBP"")"),2068.5320086158)</f>
        <v>2068.5320086157999</v>
      </c>
      <c r="R21" s="19">
        <v>94</v>
      </c>
      <c r="S21" s="13">
        <v>24</v>
      </c>
      <c r="T21" s="16">
        <v>4106</v>
      </c>
      <c r="U21" s="17"/>
      <c r="V21" s="13">
        <v>1</v>
      </c>
      <c r="W21" s="16">
        <v>1604</v>
      </c>
      <c r="X21" s="13">
        <v>2</v>
      </c>
      <c r="Y21" s="17"/>
      <c r="Z21" s="16">
        <v>183</v>
      </c>
      <c r="AA21" s="17">
        <f ca="1">IFERROR(__xludf.DUMMYFUNCTION("Z21*GOOGLEFINANCE(""CURRENCY:EURGBP"")"),159.5201675418)</f>
        <v>159.52016754179999</v>
      </c>
      <c r="AB21" s="17" t="str">
        <f ca="1">IFERROR(__xludf.DUMMYFUNCTION("#REF!*GOOGLEFINANCE(""CURRENCY:EURGBP"")"),"#REF!")</f>
        <v>#REF!</v>
      </c>
      <c r="AC21" s="16">
        <v>277</v>
      </c>
      <c r="AD21" s="17">
        <f ca="1">IFERROR(__xludf.DUMMYFUNCTION("AC21*GOOGLEFINANCE(""CURRENCY:EURGBP"")"),241.4594885742)</f>
        <v>241.45948857420001</v>
      </c>
      <c r="AE21" s="13">
        <v>1</v>
      </c>
      <c r="AF21" s="16">
        <v>6.37</v>
      </c>
      <c r="AG21" s="13">
        <v>6</v>
      </c>
      <c r="AH21" s="17">
        <f ca="1">IFERROR(__xludf.DUMMYFUNCTION("AF21*GOOGLEFINANCE(""CURRENCY:EURGBP"")"),5.552696542302)</f>
        <v>5.5526965423019998</v>
      </c>
      <c r="AI21" s="16">
        <v>3.55</v>
      </c>
      <c r="AJ21" s="13">
        <v>10</v>
      </c>
      <c r="AK21" s="17">
        <f ca="1">IFERROR(__xludf.DUMMYFUNCTION("AI21*GOOGLEFINANCE(""CURRENCY:EURGBP"")"),3.09451691133)</f>
        <v>3.09451691133</v>
      </c>
      <c r="AL21" s="19">
        <v>363</v>
      </c>
      <c r="AM21" s="13">
        <v>29</v>
      </c>
      <c r="AN21" s="12">
        <v>51</v>
      </c>
      <c r="AO21" s="13">
        <v>30</v>
      </c>
      <c r="AP21" s="12">
        <v>299</v>
      </c>
      <c r="AQ21" s="13">
        <v>29</v>
      </c>
      <c r="AR21" s="12">
        <v>26</v>
      </c>
      <c r="AS21" s="13">
        <v>26</v>
      </c>
    </row>
    <row r="22" spans="1:45" ht="12.75" x14ac:dyDescent="0.2">
      <c r="A22" s="8" t="s">
        <v>64</v>
      </c>
      <c r="B22" s="9">
        <f t="shared" si="0"/>
        <v>199</v>
      </c>
      <c r="C22" s="9">
        <v>450</v>
      </c>
      <c r="D22" s="9">
        <f t="shared" si="1"/>
        <v>44.222222222222221</v>
      </c>
      <c r="E22" s="10">
        <f t="shared" si="2"/>
        <v>4.4222222222222225</v>
      </c>
      <c r="F22" s="9">
        <v>15</v>
      </c>
      <c r="G22" s="25">
        <v>1780</v>
      </c>
      <c r="H22" s="25">
        <v>950</v>
      </c>
      <c r="I22" s="9">
        <v>6</v>
      </c>
      <c r="J22" s="12">
        <v>0.86</v>
      </c>
      <c r="K22" s="13">
        <v>11</v>
      </c>
      <c r="L22" s="12"/>
      <c r="M22" s="21">
        <v>8</v>
      </c>
      <c r="N22" s="13">
        <v>24</v>
      </c>
      <c r="O22" s="14">
        <v>75</v>
      </c>
      <c r="P22" s="13">
        <v>25</v>
      </c>
      <c r="Q22" s="15">
        <f ca="1">IFERROR(__xludf.DUMMYFUNCTION("O22*GOOGLEFINANCE(""CURRENCY:EURGBP"")"),65.377117845)</f>
        <v>65.377117845000001</v>
      </c>
      <c r="R22" s="12">
        <v>51</v>
      </c>
      <c r="S22" s="13">
        <v>10</v>
      </c>
      <c r="T22" s="16">
        <v>2746</v>
      </c>
      <c r="U22" s="17"/>
      <c r="V22" s="13">
        <v>9</v>
      </c>
      <c r="W22" s="16">
        <v>997</v>
      </c>
      <c r="X22" s="13">
        <v>11</v>
      </c>
      <c r="Y22" s="17"/>
      <c r="Z22" s="16">
        <v>61</v>
      </c>
      <c r="AA22" s="17">
        <f ca="1">IFERROR(__xludf.DUMMYFUNCTION("Z22*GOOGLEFINANCE(""CURRENCY:EURGBP"")"),53.1733891806)</f>
        <v>53.173389180599997</v>
      </c>
      <c r="AB22" s="17" t="str">
        <f ca="1">IFERROR(__xludf.DUMMYFUNCTION("#REF!*GOOGLEFINANCE(""CURRENCY:EURGBP"")"),"#REF!")</f>
        <v>#REF!</v>
      </c>
      <c r="AC22" s="23">
        <v>138</v>
      </c>
      <c r="AD22" s="17">
        <f ca="1">IFERROR(__xludf.DUMMYFUNCTION("AC22*GOOGLEFINANCE(""CURRENCY:EURGBP"")"),120.2938968348)</f>
        <v>120.29389683479999</v>
      </c>
      <c r="AE22" s="13">
        <v>12</v>
      </c>
      <c r="AF22" s="16">
        <v>4.29</v>
      </c>
      <c r="AG22" s="13">
        <v>16</v>
      </c>
      <c r="AH22" s="17">
        <f ca="1">IFERROR(__xludf.DUMMYFUNCTION("AF22*GOOGLEFINANCE(""CURRENCY:EURGBP"")"),3.73957114073399)</f>
        <v>3.73957114073399</v>
      </c>
      <c r="AI22" s="16">
        <v>3.94</v>
      </c>
      <c r="AJ22" s="13">
        <v>6</v>
      </c>
      <c r="AK22" s="17">
        <f ca="1">IFERROR(__xludf.DUMMYFUNCTION("AI22*GOOGLEFINANCE(""CURRENCY:EURGBP"")"),3.43447792412399)</f>
        <v>3.43447792412399</v>
      </c>
      <c r="AL22" s="12">
        <v>61</v>
      </c>
      <c r="AM22" s="13">
        <v>21</v>
      </c>
      <c r="AN22" s="12">
        <v>3</v>
      </c>
      <c r="AO22" s="13">
        <v>22</v>
      </c>
      <c r="AP22" s="12">
        <v>22</v>
      </c>
      <c r="AQ22" s="13">
        <v>2</v>
      </c>
      <c r="AR22" s="12">
        <v>11</v>
      </c>
      <c r="AS22" s="13">
        <v>9</v>
      </c>
    </row>
    <row r="23" spans="1:45" ht="12.75" x14ac:dyDescent="0.2">
      <c r="A23" s="26" t="s">
        <v>65</v>
      </c>
      <c r="B23" s="9">
        <f t="shared" si="0"/>
        <v>198</v>
      </c>
      <c r="C23" s="9">
        <v>450</v>
      </c>
      <c r="D23" s="9">
        <f t="shared" si="1"/>
        <v>44</v>
      </c>
      <c r="E23" s="10">
        <f t="shared" si="2"/>
        <v>4.4000000000000004</v>
      </c>
      <c r="F23" s="9">
        <v>26</v>
      </c>
      <c r="G23" s="25">
        <v>2670</v>
      </c>
      <c r="H23" s="25">
        <v>1120</v>
      </c>
      <c r="I23" s="9">
        <v>4</v>
      </c>
      <c r="J23" s="12">
        <v>0.99</v>
      </c>
      <c r="K23" s="13">
        <v>9</v>
      </c>
      <c r="L23" s="12"/>
      <c r="M23" s="21">
        <v>47</v>
      </c>
      <c r="N23" s="13">
        <v>5</v>
      </c>
      <c r="O23" s="14">
        <v>108</v>
      </c>
      <c r="P23" s="13">
        <v>21</v>
      </c>
      <c r="Q23" s="15">
        <f ca="1">IFERROR(__xludf.DUMMYFUNCTION("O23*GOOGLEFINANCE(""CURRENCY:EURGBP"")"),94.1430496968)</f>
        <v>94.143049696800006</v>
      </c>
      <c r="R23" s="20">
        <v>23</v>
      </c>
      <c r="S23" s="13">
        <v>2</v>
      </c>
      <c r="T23" s="22">
        <v>1375.91</v>
      </c>
      <c r="U23" s="17"/>
      <c r="V23" s="13">
        <v>25</v>
      </c>
      <c r="W23" s="22">
        <v>846.94</v>
      </c>
      <c r="X23" s="13">
        <v>12</v>
      </c>
      <c r="Y23" s="17"/>
      <c r="Z23" s="22">
        <v>47.29</v>
      </c>
      <c r="AA23" s="17">
        <f ca="1">IFERROR(__xludf.DUMMYFUNCTION("Z23*GOOGLEFINANCE(""CURRENCY:EURGBP"")"),41.222452038534)</f>
        <v>41.222452038534001</v>
      </c>
      <c r="AB23" s="17" t="str">
        <f ca="1">IFERROR(__xludf.DUMMYFUNCTION("#REF!*GOOGLEFINANCE(""CURRENCY:EURGBP"")"),"#REF!")</f>
        <v>#REF!</v>
      </c>
      <c r="AC23" s="23">
        <v>78.86</v>
      </c>
      <c r="AD23" s="17">
        <f ca="1">IFERROR(__xludf.DUMMYFUNCTION("AC23*GOOGLEFINANCE(""CURRENCY:EURGBP"")"),68.7418601767559)</f>
        <v>68.741860176755907</v>
      </c>
      <c r="AE23" s="13">
        <v>19</v>
      </c>
      <c r="AF23" s="16">
        <v>2.11</v>
      </c>
      <c r="AG23" s="13">
        <v>26</v>
      </c>
      <c r="AH23" s="17">
        <f ca="1">IFERROR(__xludf.DUMMYFUNCTION("AF23*GOOGLEFINANCE(""CURRENCY:EURGBP"")"),1.839276248706)</f>
        <v>1.8392762487059999</v>
      </c>
      <c r="AI23" s="22">
        <v>2.2200000000000002</v>
      </c>
      <c r="AJ23" s="13">
        <v>26</v>
      </c>
      <c r="AK23" s="17">
        <f ca="1">IFERROR(__xludf.DUMMYFUNCTION("AI23*GOOGLEFINANCE(""CURRENCY:EURGBP"")"),1.935162688212)</f>
        <v>1.9351626882120001</v>
      </c>
      <c r="AL23" s="12">
        <v>10</v>
      </c>
      <c r="AM23" s="13">
        <v>4</v>
      </c>
      <c r="AN23" s="12">
        <v>0</v>
      </c>
      <c r="AO23" s="13">
        <v>12</v>
      </c>
      <c r="AP23" s="12">
        <v>32</v>
      </c>
      <c r="AQ23" s="13">
        <v>5</v>
      </c>
      <c r="AR23" s="12">
        <v>0</v>
      </c>
      <c r="AS23" s="13">
        <v>2</v>
      </c>
    </row>
    <row r="24" spans="1:45" ht="12.75" x14ac:dyDescent="0.2">
      <c r="A24" s="26" t="s">
        <v>66</v>
      </c>
      <c r="B24" s="9">
        <f t="shared" si="0"/>
        <v>175</v>
      </c>
      <c r="C24" s="9">
        <v>450</v>
      </c>
      <c r="D24" s="9">
        <f t="shared" si="1"/>
        <v>38.888888888888893</v>
      </c>
      <c r="E24" s="10">
        <f t="shared" si="2"/>
        <v>3.8888888888888893</v>
      </c>
      <c r="F24" s="9">
        <v>6</v>
      </c>
      <c r="G24" s="25">
        <v>1549</v>
      </c>
      <c r="H24" s="25">
        <v>1150</v>
      </c>
      <c r="I24" s="9">
        <v>3</v>
      </c>
      <c r="J24" s="12">
        <v>1.2</v>
      </c>
      <c r="K24" s="13">
        <v>5</v>
      </c>
      <c r="L24" s="12"/>
      <c r="M24" s="12">
        <v>19</v>
      </c>
      <c r="N24" s="13">
        <v>16</v>
      </c>
      <c r="O24" s="14">
        <v>2373</v>
      </c>
      <c r="P24" s="13">
        <v>2</v>
      </c>
      <c r="Q24" s="15">
        <f ca="1">IFERROR(__xludf.DUMMYFUNCTION("O24*GOOGLEFINANCE(""CURRENCY:EURGBP"")"),2068.5320086158)</f>
        <v>2068.5320086157999</v>
      </c>
      <c r="R24" s="12">
        <v>43</v>
      </c>
      <c r="S24" s="13">
        <v>8</v>
      </c>
      <c r="T24" s="16">
        <v>2027.69</v>
      </c>
      <c r="U24" s="17"/>
      <c r="V24" s="18">
        <v>16</v>
      </c>
      <c r="W24" s="16">
        <v>599.77</v>
      </c>
      <c r="X24" s="13">
        <v>25</v>
      </c>
      <c r="Y24" s="17"/>
      <c r="Z24" s="16">
        <v>58.82</v>
      </c>
      <c r="AA24" s="17">
        <f ca="1">IFERROR(__xludf.DUMMYFUNCTION("Z24*GOOGLEFINANCE(""CURRENCY:EURGBP"")"),51.273094288572)</f>
        <v>51.273094288571997</v>
      </c>
      <c r="AB24" s="17" t="str">
        <f ca="1">IFERROR(__xludf.DUMMYFUNCTION("#REF!*GOOGLEFINANCE(""CURRENCY:EURGBP"")"),"#REF!")</f>
        <v>#REF!</v>
      </c>
      <c r="AC24" s="23">
        <v>167.92</v>
      </c>
      <c r="AD24" s="17">
        <f ca="1">IFERROR(__xludf.DUMMYFUNCTION("AC24*GOOGLEFINANCE(""CURRENCY:EURGBP"")"),146.375008380431)</f>
        <v>146.37500838043101</v>
      </c>
      <c r="AE24" s="13">
        <v>15</v>
      </c>
      <c r="AF24" s="16">
        <v>4.26</v>
      </c>
      <c r="AG24" s="13">
        <v>17</v>
      </c>
      <c r="AH24" s="17">
        <v>4.26</v>
      </c>
      <c r="AI24" s="16">
        <v>2.93</v>
      </c>
      <c r="AJ24" s="13">
        <v>18</v>
      </c>
      <c r="AK24" s="17">
        <f ca="1">IFERROR(__xludf.DUMMYFUNCTION("AI24*GOOGLEFINANCE(""CURRENCY:EURGBP"")"),2.554066070478)</f>
        <v>2.5540660704780001</v>
      </c>
      <c r="AL24" s="12">
        <v>7</v>
      </c>
      <c r="AM24" s="13">
        <v>3</v>
      </c>
      <c r="AN24" s="12">
        <v>0</v>
      </c>
      <c r="AO24" s="13">
        <v>8</v>
      </c>
      <c r="AP24" s="12">
        <v>137</v>
      </c>
      <c r="AQ24" s="13">
        <v>25</v>
      </c>
      <c r="AR24" s="21">
        <v>6</v>
      </c>
      <c r="AS24" s="13">
        <v>8</v>
      </c>
    </row>
    <row r="25" spans="1:45" ht="12.75" x14ac:dyDescent="0.2">
      <c r="A25" s="8" t="s">
        <v>67</v>
      </c>
      <c r="B25" s="9">
        <f t="shared" si="0"/>
        <v>171</v>
      </c>
      <c r="C25" s="9">
        <v>450</v>
      </c>
      <c r="D25" s="9">
        <f t="shared" si="1"/>
        <v>38</v>
      </c>
      <c r="E25" s="10">
        <f t="shared" si="2"/>
        <v>3.8000000000000003</v>
      </c>
      <c r="F25" s="9">
        <v>4</v>
      </c>
      <c r="G25" s="11">
        <v>1453</v>
      </c>
      <c r="H25" s="11">
        <v>758</v>
      </c>
      <c r="I25" s="9">
        <v>14</v>
      </c>
      <c r="J25" s="12">
        <v>0.68</v>
      </c>
      <c r="K25" s="13">
        <v>22</v>
      </c>
      <c r="L25" s="12">
        <v>7.0960000000000001</v>
      </c>
      <c r="M25" s="12">
        <v>21</v>
      </c>
      <c r="N25" s="13">
        <v>14</v>
      </c>
      <c r="O25" s="14">
        <v>1500</v>
      </c>
      <c r="P25" s="13">
        <v>4</v>
      </c>
      <c r="Q25" s="15">
        <f ca="1">IFERROR(__xludf.DUMMYFUNCTION("O25*GOOGLEFINANCE(""CURRENCY:EURGBP"")"),1307.5423569)</f>
        <v>1307.5423569</v>
      </c>
      <c r="R25" s="20">
        <v>87</v>
      </c>
      <c r="S25" s="13">
        <v>21</v>
      </c>
      <c r="T25" s="16">
        <v>3145</v>
      </c>
      <c r="U25" s="17"/>
      <c r="V25" s="13">
        <v>3</v>
      </c>
      <c r="W25" s="16">
        <v>1311</v>
      </c>
      <c r="X25" s="13">
        <v>3</v>
      </c>
      <c r="Y25" s="17"/>
      <c r="Z25" s="16">
        <v>106</v>
      </c>
      <c r="AA25" s="17">
        <f ca="1">IFERROR(__xludf.DUMMYFUNCTION("Z25*GOOGLEFINANCE(""CURRENCY:EURGBP"")"),92.3996598876)</f>
        <v>92.399659887599995</v>
      </c>
      <c r="AB25" s="17" t="str">
        <f ca="1">IFERROR(__xludf.DUMMYFUNCTION("#REF!*GOOGLEFINANCE(""CURRENCY:EURGBP"")"),"#REF!")</f>
        <v>#REF!</v>
      </c>
      <c r="AC25" s="16">
        <v>291</v>
      </c>
      <c r="AD25" s="17">
        <f ca="1">IFERROR(__xludf.DUMMYFUNCTION("AC25*GOOGLEFINANCE(""CURRENCY:EURGBP"")"),253.6632172386)</f>
        <v>253.6632172386</v>
      </c>
      <c r="AE25" s="13">
        <v>2</v>
      </c>
      <c r="AF25" s="16">
        <v>5.71</v>
      </c>
      <c r="AG25" s="13">
        <v>10</v>
      </c>
      <c r="AH25" s="17">
        <f ca="1">IFERROR(__xludf.DUMMYFUNCTION("AF25*GOOGLEFINANCE(""CURRENCY:EURGBP"")"),4.977377905266)</f>
        <v>4.9773779052659997</v>
      </c>
      <c r="AI25" s="16">
        <v>3.71</v>
      </c>
      <c r="AJ25" s="13">
        <v>8</v>
      </c>
      <c r="AK25" s="17">
        <f ca="1">IFERROR(__xludf.DUMMYFUNCTION("AI25*GOOGLEFINANCE(""CURRENCY:EURGBP"")"),3.233988096066)</f>
        <v>3.2339880960660001</v>
      </c>
      <c r="AL25" s="12">
        <v>33</v>
      </c>
      <c r="AM25" s="13">
        <v>15</v>
      </c>
      <c r="AN25" s="12">
        <v>3</v>
      </c>
      <c r="AO25" s="13">
        <v>21</v>
      </c>
      <c r="AP25" s="12">
        <v>81</v>
      </c>
      <c r="AQ25" s="13">
        <v>19</v>
      </c>
      <c r="AR25" s="21">
        <v>13</v>
      </c>
      <c r="AS25" s="13">
        <v>11</v>
      </c>
    </row>
    <row r="26" spans="1:45" ht="12.75" x14ac:dyDescent="0.2">
      <c r="A26" s="8" t="s">
        <v>68</v>
      </c>
      <c r="B26" s="9">
        <f t="shared" si="0"/>
        <v>170</v>
      </c>
      <c r="C26" s="9">
        <v>450</v>
      </c>
      <c r="D26" s="9">
        <f t="shared" si="1"/>
        <v>37.777777777777779</v>
      </c>
      <c r="E26" s="10">
        <f t="shared" si="2"/>
        <v>3.7777777777777781</v>
      </c>
      <c r="F26" s="9">
        <v>19</v>
      </c>
      <c r="G26" s="11">
        <v>1912</v>
      </c>
      <c r="H26" s="11">
        <v>645.70000000000005</v>
      </c>
      <c r="I26" s="9">
        <v>20</v>
      </c>
      <c r="J26" s="12">
        <v>0.88</v>
      </c>
      <c r="K26" s="13">
        <v>10</v>
      </c>
      <c r="L26" s="12">
        <v>7.53</v>
      </c>
      <c r="M26" s="12">
        <v>37</v>
      </c>
      <c r="N26" s="13">
        <v>8</v>
      </c>
      <c r="O26" s="14">
        <v>592</v>
      </c>
      <c r="P26" s="13">
        <v>8</v>
      </c>
      <c r="Q26" s="15">
        <f ca="1">IFERROR(__xludf.DUMMYFUNCTION("O26*GOOGLEFINANCE(""CURRENCY:EURGBP"")"),516.0433835232)</f>
        <v>516.04338352319996</v>
      </c>
      <c r="R26" s="20">
        <v>90</v>
      </c>
      <c r="S26" s="13">
        <v>22</v>
      </c>
      <c r="T26" s="16">
        <v>3125</v>
      </c>
      <c r="U26" s="17"/>
      <c r="V26" s="18">
        <v>4</v>
      </c>
      <c r="W26" s="16">
        <v>1121</v>
      </c>
      <c r="X26" s="13">
        <v>7</v>
      </c>
      <c r="Y26" s="17"/>
      <c r="Z26" s="16">
        <v>91</v>
      </c>
      <c r="AA26" s="17">
        <f ca="1">IFERROR(__xludf.DUMMYFUNCTION("Z26*GOOGLEFINANCE(""CURRENCY:EURGBP"")"),79.3242363186)</f>
        <v>79.324236318600001</v>
      </c>
      <c r="AB26" s="17" t="str">
        <f ca="1">IFERROR(__xludf.DUMMYFUNCTION("#REF!*GOOGLEFINANCE(""CURRENCY:EURGBP"")"),"#REF!")</f>
        <v>#REF!</v>
      </c>
      <c r="AC26" s="23">
        <v>138.78</v>
      </c>
      <c r="AD26" s="17">
        <f ca="1">IFERROR(__xludf.DUMMYFUNCTION("AC26*GOOGLEFINANCE(""CURRENCY:EURGBP"")"),120.973818860388)</f>
        <v>120.97381886038799</v>
      </c>
      <c r="AE26" s="13">
        <v>4</v>
      </c>
      <c r="AF26" s="16">
        <v>6.44</v>
      </c>
      <c r="AG26" s="13">
        <v>5</v>
      </c>
      <c r="AH26" s="17">
        <f ca="1">IFERROR(__xludf.DUMMYFUNCTION("AF26*GOOGLEFINANCE(""CURRENCY:EURGBP"")"),5.613715185624)</f>
        <v>5.6137151856239997</v>
      </c>
      <c r="AI26" s="16">
        <v>3.44</v>
      </c>
      <c r="AJ26" s="13">
        <v>11</v>
      </c>
      <c r="AK26" s="17">
        <f ca="1">IFERROR(__xludf.DUMMYFUNCTION("AI26*GOOGLEFINANCE(""CURRENCY:EURGBP"")"),2.99863047182399)</f>
        <v>2.99863047182399</v>
      </c>
      <c r="AL26" s="12">
        <v>62</v>
      </c>
      <c r="AM26" s="13">
        <v>22</v>
      </c>
      <c r="AN26" s="12">
        <v>0</v>
      </c>
      <c r="AO26" s="13">
        <v>4</v>
      </c>
      <c r="AP26" s="12">
        <v>54</v>
      </c>
      <c r="AQ26" s="13">
        <v>10</v>
      </c>
      <c r="AR26" s="12">
        <v>15</v>
      </c>
      <c r="AS26" s="13">
        <v>16</v>
      </c>
    </row>
    <row r="27" spans="1:45" ht="12.75" x14ac:dyDescent="0.2">
      <c r="A27" s="26" t="s">
        <v>69</v>
      </c>
      <c r="B27" s="9">
        <f t="shared" si="0"/>
        <v>168</v>
      </c>
      <c r="C27" s="9">
        <v>450</v>
      </c>
      <c r="D27" s="9">
        <f t="shared" si="1"/>
        <v>37.333333333333336</v>
      </c>
      <c r="E27" s="10">
        <f t="shared" si="2"/>
        <v>3.7333333333333338</v>
      </c>
      <c r="F27" s="9">
        <v>14</v>
      </c>
      <c r="G27" s="11">
        <v>1668</v>
      </c>
      <c r="H27" s="11">
        <v>802.7</v>
      </c>
      <c r="I27" s="9">
        <v>11</v>
      </c>
      <c r="J27" s="12">
        <v>0.57999999999999996</v>
      </c>
      <c r="K27" s="13">
        <v>27</v>
      </c>
      <c r="L27" s="12">
        <v>7.4640000000000004</v>
      </c>
      <c r="M27" s="12">
        <v>29</v>
      </c>
      <c r="N27" s="13">
        <v>11</v>
      </c>
      <c r="O27" s="14">
        <v>609</v>
      </c>
      <c r="P27" s="13">
        <v>7</v>
      </c>
      <c r="Q27" s="15">
        <f ca="1">IFERROR(__xludf.DUMMYFUNCTION("O27*GOOGLEFINANCE(""CURRENCY:EURGBP"")"),530.8621969014)</f>
        <v>530.86219690140001</v>
      </c>
      <c r="R27" s="20">
        <v>69</v>
      </c>
      <c r="S27" s="13">
        <v>19</v>
      </c>
      <c r="T27" s="16">
        <v>2937</v>
      </c>
      <c r="U27" s="17"/>
      <c r="V27" s="18">
        <v>6</v>
      </c>
      <c r="W27" s="16">
        <v>1092</v>
      </c>
      <c r="X27" s="13">
        <v>8</v>
      </c>
      <c r="Y27" s="17"/>
      <c r="Z27" s="16">
        <v>81</v>
      </c>
      <c r="AA27" s="17">
        <f ca="1">IFERROR(__xludf.DUMMYFUNCTION("Z27*GOOGLEFINANCE(""CURRENCY:EURGBP"")"),70.6072872726)</f>
        <v>70.607287272600004</v>
      </c>
      <c r="AB27" s="17" t="str">
        <f ca="1">IFERROR(__xludf.DUMMYFUNCTION("#REF!*GOOGLEFINANCE(""CURRENCY:EURGBP"")"),"#REF!")</f>
        <v>#REF!</v>
      </c>
      <c r="AC27" s="23">
        <v>138.75</v>
      </c>
      <c r="AD27" s="17">
        <f ca="1">IFERROR(__xludf.DUMMYFUNCTION("AC27*GOOGLEFINANCE(""CURRENCY:EURGBP"")"),120.94766801325)</f>
        <v>120.94766801325</v>
      </c>
      <c r="AE27" s="13">
        <v>9</v>
      </c>
      <c r="AF27" s="16">
        <v>9.15</v>
      </c>
      <c r="AG27" s="13">
        <v>1</v>
      </c>
      <c r="AH27" s="17">
        <f ca="1">IFERROR(__xludf.DUMMYFUNCTION("AF27*GOOGLEFINANCE(""CURRENCY:EURGBP"")"),7.97600837709)</f>
        <v>7.9760083770900003</v>
      </c>
      <c r="AI27" s="16">
        <v>4.76</v>
      </c>
      <c r="AJ27" s="13">
        <v>2</v>
      </c>
      <c r="AK27" s="17">
        <f ca="1">IFERROR(__xludf.DUMMYFUNCTION("AI27*GOOGLEFINANCE(""CURRENCY:EURGBP"")"),4.149267745896)</f>
        <v>4.1492677458960001</v>
      </c>
      <c r="AL27" s="12">
        <v>37</v>
      </c>
      <c r="AM27" s="13">
        <v>16</v>
      </c>
      <c r="AN27" s="12">
        <v>2</v>
      </c>
      <c r="AO27" s="13">
        <v>18</v>
      </c>
      <c r="AP27" s="12">
        <v>74</v>
      </c>
      <c r="AQ27" s="13">
        <v>14</v>
      </c>
      <c r="AR27" s="21">
        <v>1</v>
      </c>
      <c r="AS27" s="13">
        <v>5</v>
      </c>
    </row>
    <row r="28" spans="1:45" ht="12.75" x14ac:dyDescent="0.2">
      <c r="A28" s="8" t="s">
        <v>70</v>
      </c>
      <c r="B28" s="9">
        <f t="shared" si="0"/>
        <v>166</v>
      </c>
      <c r="C28" s="9">
        <v>450</v>
      </c>
      <c r="D28" s="9">
        <f t="shared" si="1"/>
        <v>36.888888888888886</v>
      </c>
      <c r="E28" s="10">
        <f t="shared" si="2"/>
        <v>3.6888888888888887</v>
      </c>
      <c r="F28" s="9">
        <v>16</v>
      </c>
      <c r="G28" s="11">
        <v>1803</v>
      </c>
      <c r="H28" s="11">
        <v>912.2</v>
      </c>
      <c r="I28" s="9">
        <v>7</v>
      </c>
      <c r="J28" s="12">
        <v>1.2</v>
      </c>
      <c r="K28" s="13">
        <v>6</v>
      </c>
      <c r="L28" s="12">
        <v>7.3730000000000002</v>
      </c>
      <c r="M28" s="12">
        <v>17</v>
      </c>
      <c r="N28" s="13">
        <v>18</v>
      </c>
      <c r="O28" s="14">
        <v>206</v>
      </c>
      <c r="P28" s="13">
        <v>14</v>
      </c>
      <c r="Q28" s="15">
        <f ca="1">IFERROR(__xludf.DUMMYFUNCTION("O28*GOOGLEFINANCE(""CURRENCY:EURGBP"")"),179.5691503476)</f>
        <v>179.56915034759999</v>
      </c>
      <c r="R28" s="20">
        <v>36</v>
      </c>
      <c r="S28" s="13">
        <v>3</v>
      </c>
      <c r="T28" s="16">
        <v>2505</v>
      </c>
      <c r="U28" s="17"/>
      <c r="V28" s="18">
        <v>12</v>
      </c>
      <c r="W28" s="16">
        <v>844</v>
      </c>
      <c r="X28" s="13">
        <v>13</v>
      </c>
      <c r="Y28" s="17"/>
      <c r="Z28" s="16">
        <v>90</v>
      </c>
      <c r="AA28" s="17">
        <f ca="1">IFERROR(__xludf.DUMMYFUNCTION("Z28*GOOGLEFINANCE(""CURRENCY:EURGBP"")"),78.452541414)</f>
        <v>78.452541413999995</v>
      </c>
      <c r="AB28" s="17" t="str">
        <f ca="1">IFERROR(__xludf.DUMMYFUNCTION("#REF!*GOOGLEFINANCE(""CURRENCY:EURGBP"")"),"#REF!")</f>
        <v>#REF!</v>
      </c>
      <c r="AC28" s="23">
        <v>158.71</v>
      </c>
      <c r="AD28" s="17">
        <f ca="1">IFERROR(__xludf.DUMMYFUNCTION("AC28*GOOGLEFINANCE(""CURRENCY:EURGBP"")"),138.346698309066)</f>
        <v>138.346698309066</v>
      </c>
      <c r="AE28" s="13">
        <v>5</v>
      </c>
      <c r="AF28" s="16">
        <v>6.66</v>
      </c>
      <c r="AG28" s="13">
        <v>3</v>
      </c>
      <c r="AH28" s="17">
        <f ca="1">IFERROR(__xludf.DUMMYFUNCTION("AF28*GOOGLEFINANCE(""CURRENCY:EURGBP"")"),5.805488064636)</f>
        <v>5.8054880646360001</v>
      </c>
      <c r="AI28" s="16">
        <v>3.99</v>
      </c>
      <c r="AJ28" s="13">
        <v>5</v>
      </c>
      <c r="AK28" s="17">
        <f ca="1">IFERROR(__xludf.DUMMYFUNCTION("AI28*GOOGLEFINANCE(""CURRENCY:EURGBP"")"),3.478062669354)</f>
        <v>3.4780626693540002</v>
      </c>
      <c r="AL28" s="12">
        <v>43</v>
      </c>
      <c r="AM28" s="13">
        <v>19</v>
      </c>
      <c r="AN28" s="12">
        <v>1</v>
      </c>
      <c r="AO28" s="13">
        <v>17</v>
      </c>
      <c r="AP28" s="12">
        <v>74</v>
      </c>
      <c r="AQ28" s="13">
        <v>15</v>
      </c>
      <c r="AR28" s="12">
        <v>14</v>
      </c>
      <c r="AS28" s="13">
        <v>13</v>
      </c>
    </row>
    <row r="29" spans="1:45" ht="12.75" x14ac:dyDescent="0.2">
      <c r="A29" s="26" t="s">
        <v>71</v>
      </c>
      <c r="B29" s="9">
        <f t="shared" si="0"/>
        <v>153</v>
      </c>
      <c r="C29" s="9">
        <v>450</v>
      </c>
      <c r="D29" s="9">
        <f t="shared" si="1"/>
        <v>34</v>
      </c>
      <c r="E29" s="10">
        <f t="shared" si="2"/>
        <v>3.4000000000000004</v>
      </c>
      <c r="F29" s="9">
        <v>17</v>
      </c>
      <c r="G29" s="11">
        <v>1858</v>
      </c>
      <c r="H29" s="11">
        <v>655</v>
      </c>
      <c r="I29" s="9">
        <v>18</v>
      </c>
      <c r="J29" s="12">
        <v>1.59</v>
      </c>
      <c r="K29" s="13">
        <v>1</v>
      </c>
      <c r="L29" s="12">
        <v>7.8280000000000003</v>
      </c>
      <c r="M29" s="12">
        <v>20</v>
      </c>
      <c r="N29" s="13">
        <v>15</v>
      </c>
      <c r="O29" s="14">
        <v>690</v>
      </c>
      <c r="P29" s="13">
        <v>6</v>
      </c>
      <c r="Q29" s="15">
        <f ca="1">IFERROR(__xludf.DUMMYFUNCTION("O29*GOOGLEFINANCE(""CURRENCY:EURGBP"")"),601.469484174)</f>
        <v>601.46948417399994</v>
      </c>
      <c r="R29" s="20">
        <v>70</v>
      </c>
      <c r="S29" s="13">
        <v>20</v>
      </c>
      <c r="T29" s="16">
        <v>2596</v>
      </c>
      <c r="U29" s="17"/>
      <c r="V29" s="18">
        <v>10</v>
      </c>
      <c r="W29" s="16">
        <v>1172</v>
      </c>
      <c r="X29" s="13">
        <v>5</v>
      </c>
      <c r="Y29" s="17"/>
      <c r="Z29" s="16">
        <v>60</v>
      </c>
      <c r="AA29" s="17">
        <f ca="1">IFERROR(__xludf.DUMMYFUNCTION("Z29*GOOGLEFINANCE(""CURRENCY:EURGBP"")"),52.301694276)</f>
        <v>52.301694275999999</v>
      </c>
      <c r="AB29" s="17" t="str">
        <f ca="1">IFERROR(__xludf.DUMMYFUNCTION("#REF!*GOOGLEFINANCE(""CURRENCY:EURGBP"")"),"#REF!")</f>
        <v>#REF!</v>
      </c>
      <c r="AC29" s="23">
        <v>118</v>
      </c>
      <c r="AD29" s="17">
        <f ca="1">IFERROR(__xludf.DUMMYFUNCTION("AC29*GOOGLEFINANCE(""CURRENCY:EURGBP"")"),102.8599987428)</f>
        <v>102.8599987428</v>
      </c>
      <c r="AE29" s="13">
        <v>14</v>
      </c>
      <c r="AF29" s="16">
        <v>6.05</v>
      </c>
      <c r="AG29" s="13">
        <v>7</v>
      </c>
      <c r="AH29" s="17">
        <f ca="1">IFERROR(__xludf.DUMMYFUNCTION("AF29*GOOGLEFINANCE(""CURRENCY:EURGBP"")"),5.27375417282999)</f>
        <v>5.2737541728299897</v>
      </c>
      <c r="AI29" s="16">
        <v>3.89</v>
      </c>
      <c r="AJ29" s="13">
        <v>7</v>
      </c>
      <c r="AK29" s="17">
        <f ca="1">IFERROR(__xludf.DUMMYFUNCTION("AI29*GOOGLEFINANCE(""CURRENCY:EURGBP"")"),3.390893178894)</f>
        <v>3.3908931788940002</v>
      </c>
      <c r="AL29" s="12">
        <v>26</v>
      </c>
      <c r="AM29" s="13">
        <v>12</v>
      </c>
      <c r="AN29" s="12">
        <v>0</v>
      </c>
      <c r="AO29" s="13">
        <v>5</v>
      </c>
      <c r="AP29" s="12">
        <v>34</v>
      </c>
      <c r="AQ29" s="13">
        <v>6</v>
      </c>
      <c r="AR29" s="21">
        <v>13</v>
      </c>
      <c r="AS29" s="13">
        <v>10</v>
      </c>
    </row>
    <row r="30" spans="1:45" ht="12.75" x14ac:dyDescent="0.2">
      <c r="A30" s="26" t="s">
        <v>72</v>
      </c>
      <c r="B30" s="9">
        <f t="shared" si="0"/>
        <v>151</v>
      </c>
      <c r="C30" s="9">
        <v>450</v>
      </c>
      <c r="D30" s="9">
        <f t="shared" si="1"/>
        <v>33.555555555555557</v>
      </c>
      <c r="E30" s="10">
        <f t="shared" si="2"/>
        <v>3.3555555555555561</v>
      </c>
      <c r="F30" s="9">
        <v>3</v>
      </c>
      <c r="G30" s="11">
        <v>1427</v>
      </c>
      <c r="H30" s="11">
        <v>704.3</v>
      </c>
      <c r="I30" s="9">
        <v>16</v>
      </c>
      <c r="J30" s="12">
        <v>1.2</v>
      </c>
      <c r="K30" s="13">
        <v>7</v>
      </c>
      <c r="L30" s="12"/>
      <c r="M30" s="21">
        <v>11</v>
      </c>
      <c r="N30" s="13">
        <v>23</v>
      </c>
      <c r="O30" s="14">
        <v>2373</v>
      </c>
      <c r="P30" s="13">
        <v>3</v>
      </c>
      <c r="Q30" s="15">
        <f ca="1">IFERROR(__xludf.DUMMYFUNCTION("O30*GOOGLEFINANCE(""CURRENCY:EURGBP"")"),2068.5320086158)</f>
        <v>2068.5320086157999</v>
      </c>
      <c r="R30" s="12">
        <v>52</v>
      </c>
      <c r="S30" s="13">
        <v>11</v>
      </c>
      <c r="T30" s="16">
        <v>2996</v>
      </c>
      <c r="U30" s="17"/>
      <c r="V30" s="13">
        <v>5</v>
      </c>
      <c r="W30" s="16">
        <v>1950</v>
      </c>
      <c r="X30" s="13">
        <v>1</v>
      </c>
      <c r="Y30" s="17"/>
      <c r="Z30" s="16">
        <v>73</v>
      </c>
      <c r="AA30" s="17">
        <f ca="1">IFERROR(__xludf.DUMMYFUNCTION("Z30*GOOGLEFINANCE(""CURRENCY:EURGBP"")"),63.6337280358)</f>
        <v>63.633728035799997</v>
      </c>
      <c r="AB30" s="17" t="str">
        <f ca="1">IFERROR(__xludf.DUMMYFUNCTION("#REF!*GOOGLEFINANCE(""CURRENCY:EURGBP"")"),"#REF!")</f>
        <v>#REF!</v>
      </c>
      <c r="AC30" s="23">
        <v>142.44999999999999</v>
      </c>
      <c r="AD30" s="17">
        <f ca="1">IFERROR(__xludf.DUMMYFUNCTION("AC30*GOOGLEFINANCE(""CURRENCY:EURGBP"")"),124.172939160269)</f>
        <v>124.172939160269</v>
      </c>
      <c r="AE30" s="13">
        <v>11</v>
      </c>
      <c r="AF30" s="16">
        <v>6</v>
      </c>
      <c r="AG30" s="13">
        <v>8</v>
      </c>
      <c r="AH30" s="17">
        <f ca="1">IFERROR(__xludf.DUMMYFUNCTION("AF30*GOOGLEFINANCE(""CURRENCY:EURGBP"")"),5.2301694276)</f>
        <v>5.2301694275999999</v>
      </c>
      <c r="AI30" s="16">
        <v>3.07</v>
      </c>
      <c r="AJ30" s="13">
        <v>15</v>
      </c>
      <c r="AK30" s="17">
        <f ca="1">IFERROR(__xludf.DUMMYFUNCTION("AI30*GOOGLEFINANCE(""CURRENCY:EURGBP"")"),2.676103357122)</f>
        <v>2.6761033571219999</v>
      </c>
      <c r="AL30" s="12">
        <v>21</v>
      </c>
      <c r="AM30" s="13">
        <v>10</v>
      </c>
      <c r="AN30" s="12">
        <v>1</v>
      </c>
      <c r="AO30" s="13">
        <v>16</v>
      </c>
      <c r="AP30" s="12">
        <v>38</v>
      </c>
      <c r="AQ30" s="13">
        <v>7</v>
      </c>
      <c r="AR30" s="21">
        <v>15</v>
      </c>
      <c r="AS30" s="13">
        <v>15</v>
      </c>
    </row>
    <row r="31" spans="1:45" ht="12.75" x14ac:dyDescent="0.2">
      <c r="A31" s="26" t="s">
        <v>73</v>
      </c>
      <c r="B31" s="9">
        <f t="shared" si="0"/>
        <v>120</v>
      </c>
      <c r="C31" s="9">
        <v>450</v>
      </c>
      <c r="D31" s="9">
        <f t="shared" si="1"/>
        <v>26.666666666666668</v>
      </c>
      <c r="E31" s="10">
        <f t="shared" si="2"/>
        <v>2.666666666666667</v>
      </c>
      <c r="F31" s="9">
        <v>1</v>
      </c>
      <c r="G31" s="11">
        <v>1326</v>
      </c>
      <c r="H31" s="11">
        <v>843.3</v>
      </c>
      <c r="I31" s="9">
        <v>9</v>
      </c>
      <c r="J31" s="12">
        <v>0.82</v>
      </c>
      <c r="K31" s="13">
        <v>14</v>
      </c>
      <c r="L31" s="12">
        <v>7.3170000000000002</v>
      </c>
      <c r="M31" s="21">
        <v>12</v>
      </c>
      <c r="N31" s="13">
        <v>22</v>
      </c>
      <c r="O31" s="14">
        <v>350</v>
      </c>
      <c r="P31" s="13">
        <v>11</v>
      </c>
      <c r="Q31" s="15">
        <f ca="1">IFERROR(__xludf.DUMMYFUNCTION("O31*GOOGLEFINANCE(""CURRENCY:EURGBP"")"),305.09321661)</f>
        <v>305.09321661000001</v>
      </c>
      <c r="R31" s="20">
        <v>102</v>
      </c>
      <c r="S31" s="13">
        <v>27</v>
      </c>
      <c r="T31" s="16">
        <v>2903</v>
      </c>
      <c r="U31" s="17"/>
      <c r="V31" s="13">
        <v>7</v>
      </c>
      <c r="W31" s="16">
        <v>1007</v>
      </c>
      <c r="X31" s="13">
        <v>10</v>
      </c>
      <c r="Y31" s="17"/>
      <c r="Z31" s="16">
        <v>81</v>
      </c>
      <c r="AA31" s="17">
        <f ca="1">IFERROR(__xludf.DUMMYFUNCTION("Z31*GOOGLEFINANCE(""CURRENCY:EURGBP"")"),70.6072872726)</f>
        <v>70.607287272600004</v>
      </c>
      <c r="AB31" s="17" t="str">
        <f ca="1">IFERROR(__xludf.DUMMYFUNCTION("#REF!*GOOGLEFINANCE(""CURRENCY:EURGBP"")"),"#REF!")</f>
        <v>#REF!</v>
      </c>
      <c r="AC31" s="16">
        <v>289</v>
      </c>
      <c r="AD31" s="17">
        <f ca="1">IFERROR(__xludf.DUMMYFUNCTION("AC31*GOOGLEFINANCE(""CURRENCY:EURGBP"")"),251.9198274294)</f>
        <v>251.91982742939999</v>
      </c>
      <c r="AE31" s="13">
        <v>8</v>
      </c>
      <c r="AF31" s="16">
        <v>7.96</v>
      </c>
      <c r="AG31" s="13">
        <v>2</v>
      </c>
      <c r="AH31" s="16">
        <v>7.96</v>
      </c>
      <c r="AI31" s="16">
        <v>4.78</v>
      </c>
      <c r="AJ31" s="13">
        <v>1</v>
      </c>
      <c r="AK31" s="17">
        <f ca="1">IFERROR(__xludf.DUMMYFUNCTION("AI31*GOOGLEFINANCE(""CURRENCY:EURGBP"")"),4.166701643988)</f>
        <v>4.1667016439879996</v>
      </c>
      <c r="AL31" s="12">
        <v>4</v>
      </c>
      <c r="AM31" s="13">
        <v>2</v>
      </c>
      <c r="AN31" s="12">
        <v>0</v>
      </c>
      <c r="AO31" s="13">
        <v>2</v>
      </c>
      <c r="AP31" s="12">
        <v>26</v>
      </c>
      <c r="AQ31" s="13">
        <v>3</v>
      </c>
      <c r="AR31" s="12">
        <v>0</v>
      </c>
      <c r="AS31" s="13">
        <v>1</v>
      </c>
    </row>
    <row r="32" spans="1:45" ht="12.75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6"/>
      <c r="W32" s="16"/>
      <c r="X32" s="16"/>
      <c r="Y32" s="16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1:45" ht="12.75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6"/>
      <c r="W33" s="16"/>
      <c r="X33" s="16"/>
      <c r="Y33" s="16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  <row r="34" spans="1:45" ht="12.75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Q34" s="12"/>
      <c r="R34" s="12"/>
      <c r="S34" s="12"/>
      <c r="T34" s="12"/>
      <c r="U34" s="12"/>
      <c r="V34" s="16"/>
      <c r="W34" s="16"/>
      <c r="X34" s="16"/>
      <c r="Y34" s="16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</row>
    <row r="35" spans="1:45" ht="12.75" x14ac:dyDescent="0.2">
      <c r="A35" s="26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6"/>
      <c r="W35" s="16"/>
      <c r="X35" s="16"/>
      <c r="Y35" s="16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</row>
    <row r="36" spans="1:45" ht="12.75" x14ac:dyDescent="0.2">
      <c r="A36" s="27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6"/>
      <c r="W36" s="16"/>
      <c r="X36" s="16"/>
      <c r="Y36" s="16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</row>
    <row r="37" spans="1:45" ht="12.75" x14ac:dyDescent="0.2">
      <c r="A37" s="28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6"/>
      <c r="W37" s="16"/>
      <c r="X37" s="16"/>
      <c r="Y37" s="16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  <row r="38" spans="1:45" ht="12.75" x14ac:dyDescent="0.2">
      <c r="A38" s="29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6"/>
      <c r="W38" s="16"/>
      <c r="X38" s="16"/>
      <c r="Y38" s="16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</row>
    <row r="39" spans="1:45" ht="12.75" x14ac:dyDescent="0.2">
      <c r="A39" s="29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6"/>
      <c r="W39" s="16"/>
      <c r="X39" s="16"/>
      <c r="Y39" s="16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</row>
    <row r="40" spans="1:45" ht="12.75" x14ac:dyDescent="0.2">
      <c r="A40" s="29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6"/>
      <c r="W40" s="16"/>
      <c r="X40" s="16"/>
      <c r="Y40" s="16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</row>
    <row r="41" spans="1:45" ht="12.75" x14ac:dyDescent="0.2">
      <c r="A41" s="29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6"/>
      <c r="W41" s="16"/>
      <c r="X41" s="16"/>
      <c r="Y41" s="16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</row>
    <row r="42" spans="1:45" ht="12.75" x14ac:dyDescent="0.2">
      <c r="A42" s="29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6"/>
      <c r="W42" s="16"/>
      <c r="X42" s="16"/>
      <c r="Y42" s="16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</row>
    <row r="43" spans="1:45" ht="12.75" x14ac:dyDescent="0.2">
      <c r="A43" s="29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6"/>
      <c r="W43" s="16"/>
      <c r="X43" s="16"/>
      <c r="Y43" s="16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</row>
    <row r="44" spans="1:45" ht="12.75" x14ac:dyDescent="0.2">
      <c r="A44" s="29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6"/>
      <c r="W44" s="16"/>
      <c r="X44" s="16"/>
      <c r="Y44" s="16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</row>
    <row r="45" spans="1:45" ht="12.75" x14ac:dyDescent="0.2">
      <c r="A45" s="29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6"/>
      <c r="W45" s="16"/>
      <c r="X45" s="16"/>
      <c r="Y45" s="16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</row>
    <row r="46" spans="1:45" ht="12.75" x14ac:dyDescent="0.2">
      <c r="A46" s="26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6"/>
      <c r="W46" s="16"/>
      <c r="X46" s="16"/>
      <c r="Y46" s="16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</row>
    <row r="47" spans="1:45" ht="12.75" x14ac:dyDescent="0.2">
      <c r="A47" s="30" t="s">
        <v>84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6"/>
      <c r="W47" s="16"/>
      <c r="X47" s="16"/>
      <c r="Y47" s="16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</row>
    <row r="48" spans="1:45" ht="12.75" x14ac:dyDescent="0.2">
      <c r="A48" s="3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6"/>
      <c r="W48" s="16"/>
      <c r="X48" s="16"/>
      <c r="Y48" s="16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</row>
    <row r="49" spans="1:45" ht="12.75" x14ac:dyDescent="0.2">
      <c r="A49" s="31" t="s">
        <v>85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6"/>
      <c r="W49" s="16"/>
      <c r="X49" s="16"/>
      <c r="Y49" s="16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</row>
    <row r="50" spans="1:45" ht="12.75" x14ac:dyDescent="0.2">
      <c r="A50" s="29" t="s">
        <v>86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6"/>
      <c r="W50" s="16"/>
      <c r="X50" s="16"/>
      <c r="Y50" s="16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</row>
    <row r="51" spans="1:45" ht="12.75" x14ac:dyDescent="0.2">
      <c r="A51" s="29" t="s">
        <v>87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6"/>
      <c r="W51" s="16"/>
      <c r="X51" s="16"/>
      <c r="Y51" s="16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</row>
    <row r="52" spans="1:45" ht="12.75" x14ac:dyDescent="0.2">
      <c r="A52" s="29" t="s">
        <v>88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6"/>
      <c r="W52" s="16"/>
      <c r="X52" s="16"/>
      <c r="Y52" s="16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</row>
    <row r="53" spans="1:45" ht="12.75" x14ac:dyDescent="0.2">
      <c r="A53" s="29" t="s">
        <v>89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6"/>
      <c r="W53" s="16"/>
      <c r="X53" s="16"/>
      <c r="Y53" s="16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</row>
    <row r="54" spans="1:45" ht="12.75" x14ac:dyDescent="0.2">
      <c r="A54" s="29" t="s">
        <v>90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6"/>
      <c r="W54" s="16"/>
      <c r="X54" s="16"/>
      <c r="Y54" s="16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</row>
    <row r="55" spans="1:45" ht="12.75" x14ac:dyDescent="0.2">
      <c r="A55" s="29" t="s">
        <v>91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6"/>
      <c r="W55" s="16"/>
      <c r="X55" s="16"/>
      <c r="Y55" s="16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</row>
    <row r="56" spans="1:45" ht="12.75" x14ac:dyDescent="0.2">
      <c r="A56" s="29" t="s">
        <v>92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6"/>
      <c r="W56" s="16"/>
      <c r="X56" s="16"/>
      <c r="Y56" s="16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</row>
    <row r="57" spans="1:45" ht="12.75" x14ac:dyDescent="0.2">
      <c r="A57" s="3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6"/>
      <c r="W57" s="16"/>
      <c r="X57" s="16"/>
      <c r="Y57" s="16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</row>
    <row r="58" spans="1:45" ht="12.75" x14ac:dyDescent="0.2">
      <c r="A58" s="31" t="s">
        <v>93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6"/>
      <c r="W58" s="16"/>
      <c r="X58" s="16"/>
      <c r="Y58" s="16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</row>
    <row r="59" spans="1:45" ht="12.75" x14ac:dyDescent="0.2">
      <c r="A59" s="29" t="s">
        <v>94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6"/>
      <c r="W59" s="16"/>
      <c r="X59" s="16"/>
      <c r="Y59" s="16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</row>
    <row r="60" spans="1:45" ht="12.75" x14ac:dyDescent="0.2">
      <c r="A60" s="29" t="s">
        <v>95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6"/>
      <c r="W60" s="16"/>
      <c r="X60" s="16"/>
      <c r="Y60" s="16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</row>
    <row r="61" spans="1:45" ht="12.75" x14ac:dyDescent="0.2">
      <c r="A61" s="29" t="s">
        <v>83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6"/>
      <c r="W61" s="16"/>
      <c r="X61" s="16"/>
      <c r="Y61" s="16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</row>
    <row r="62" spans="1:45" ht="12.75" x14ac:dyDescent="0.2">
      <c r="A62" s="29" t="s">
        <v>96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6"/>
      <c r="W62" s="16"/>
      <c r="X62" s="16"/>
      <c r="Y62" s="16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5" ht="12.75" x14ac:dyDescent="0.2">
      <c r="A63" s="29" t="s">
        <v>97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6"/>
      <c r="W63" s="16"/>
      <c r="X63" s="16"/>
      <c r="Y63" s="16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5" ht="12.75" x14ac:dyDescent="0.2">
      <c r="A64" s="29" t="s">
        <v>98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6"/>
      <c r="W64" s="16"/>
      <c r="X64" s="16"/>
      <c r="Y64" s="16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2.75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6"/>
      <c r="W65" s="16"/>
      <c r="X65" s="16"/>
      <c r="Y65" s="16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2.75" x14ac:dyDescent="0.2">
      <c r="A66" s="31" t="s">
        <v>99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6"/>
      <c r="W66" s="16"/>
      <c r="X66" s="16"/>
      <c r="Y66" s="16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2.75" x14ac:dyDescent="0.2">
      <c r="A67" s="29" t="s">
        <v>100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6"/>
      <c r="W67" s="16"/>
      <c r="X67" s="16"/>
      <c r="Y67" s="16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</row>
    <row r="68" spans="1:45" ht="12.75" x14ac:dyDescent="0.2">
      <c r="A68" s="29" t="s">
        <v>101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6"/>
      <c r="W68" s="16"/>
      <c r="X68" s="16"/>
      <c r="Y68" s="16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</row>
    <row r="69" spans="1:45" ht="12.75" x14ac:dyDescent="0.2">
      <c r="A69" s="29" t="s">
        <v>102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6"/>
      <c r="W69" s="16"/>
      <c r="X69" s="16"/>
      <c r="Y69" s="16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</row>
    <row r="70" spans="1:45" ht="12.75" x14ac:dyDescent="0.2">
      <c r="A70" s="29" t="s">
        <v>103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6"/>
      <c r="W70" s="16"/>
      <c r="X70" s="16"/>
      <c r="Y70" s="16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</row>
    <row r="71" spans="1:45" ht="12.75" x14ac:dyDescent="0.2">
      <c r="A71" s="29" t="s">
        <v>104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6"/>
      <c r="W71" s="16"/>
      <c r="X71" s="16"/>
      <c r="Y71" s="16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</row>
    <row r="72" spans="1:45" ht="12.75" x14ac:dyDescent="0.2">
      <c r="A72" s="29" t="s">
        <v>105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6"/>
      <c r="W72" s="16"/>
      <c r="X72" s="16"/>
      <c r="Y72" s="16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</row>
    <row r="73" spans="1:45" ht="12.75" x14ac:dyDescent="0.2">
      <c r="A73" s="29" t="s">
        <v>83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6"/>
      <c r="W73" s="16"/>
      <c r="X73" s="16"/>
      <c r="Y73" s="16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</row>
    <row r="74" spans="1:45" ht="12.75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6"/>
      <c r="W74" s="16"/>
      <c r="X74" s="16"/>
      <c r="Y74" s="16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</row>
    <row r="75" spans="1:45" ht="12.75" x14ac:dyDescent="0.2">
      <c r="A75" s="31" t="s">
        <v>106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6"/>
      <c r="W75" s="16"/>
      <c r="X75" s="16"/>
      <c r="Y75" s="16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</row>
    <row r="76" spans="1:45" ht="12.75" x14ac:dyDescent="0.2">
      <c r="A76" s="29" t="s">
        <v>107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6"/>
      <c r="W76" s="16"/>
      <c r="X76" s="16"/>
      <c r="Y76" s="16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</row>
    <row r="77" spans="1:45" ht="12.75" x14ac:dyDescent="0.2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6"/>
      <c r="W77" s="16"/>
      <c r="X77" s="16"/>
      <c r="Y77" s="16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</row>
    <row r="78" spans="1:45" ht="12.75" x14ac:dyDescent="0.2">
      <c r="A78" s="31" t="s">
        <v>108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6"/>
      <c r="W78" s="16"/>
      <c r="X78" s="16"/>
      <c r="Y78" s="16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</row>
    <row r="79" spans="1:45" ht="12.75" x14ac:dyDescent="0.2">
      <c r="A79" s="29" t="s">
        <v>109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6"/>
      <c r="W79" s="16"/>
      <c r="X79" s="16"/>
      <c r="Y79" s="16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</row>
    <row r="80" spans="1:45" ht="12.75" x14ac:dyDescent="0.2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6"/>
      <c r="W80" s="16"/>
      <c r="X80" s="16"/>
      <c r="Y80" s="16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45" ht="12.75" x14ac:dyDescent="0.2">
      <c r="A81" s="31" t="s">
        <v>110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6"/>
      <c r="W81" s="16"/>
      <c r="X81" s="16"/>
      <c r="Y81" s="16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</row>
    <row r="82" spans="1:45" ht="12.75" x14ac:dyDescent="0.2">
      <c r="A82" s="29" t="s">
        <v>111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6"/>
      <c r="W82" s="16"/>
      <c r="X82" s="16"/>
      <c r="Y82" s="16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</row>
    <row r="83" spans="1:45" ht="12.75" x14ac:dyDescent="0.2">
      <c r="A83" s="29" t="s">
        <v>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6"/>
      <c r="W83" s="16"/>
      <c r="X83" s="16"/>
      <c r="Y83" s="16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</row>
    <row r="84" spans="1:45" ht="12.75" x14ac:dyDescent="0.2">
      <c r="A84" s="29" t="s">
        <v>112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6"/>
      <c r="W84" s="16"/>
      <c r="X84" s="16"/>
      <c r="Y84" s="16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</row>
    <row r="85" spans="1:45" ht="12.75" x14ac:dyDescent="0.2">
      <c r="A85" s="29" t="s">
        <v>113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6"/>
      <c r="W85" s="16"/>
      <c r="X85" s="16"/>
      <c r="Y85" s="16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</row>
    <row r="86" spans="1:45" ht="12.75" x14ac:dyDescent="0.2">
      <c r="A86" s="3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6"/>
      <c r="W86" s="16"/>
      <c r="X86" s="16"/>
      <c r="Y86" s="16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</row>
    <row r="87" spans="1:45" ht="12.75" x14ac:dyDescent="0.2">
      <c r="A87" s="31" t="s">
        <v>114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6"/>
      <c r="W87" s="16"/>
      <c r="X87" s="16"/>
      <c r="Y87" s="16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</row>
    <row r="88" spans="1:45" ht="12.75" x14ac:dyDescent="0.2">
      <c r="A88" s="29" t="s">
        <v>115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6"/>
      <c r="W88" s="16"/>
      <c r="X88" s="16"/>
      <c r="Y88" s="16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</row>
    <row r="89" spans="1:45" ht="12.75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6"/>
      <c r="W89" s="16"/>
      <c r="X89" s="16"/>
      <c r="Y89" s="16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</row>
    <row r="90" spans="1:45" ht="12.75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6"/>
      <c r="W90" s="16"/>
      <c r="X90" s="16"/>
      <c r="Y90" s="16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</row>
    <row r="91" spans="1:45" ht="12.75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6"/>
      <c r="W91" s="16"/>
      <c r="X91" s="16"/>
      <c r="Y91" s="16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</row>
    <row r="92" spans="1:45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6"/>
      <c r="W92" s="16"/>
      <c r="X92" s="16"/>
      <c r="Y92" s="16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</row>
    <row r="93" spans="1:45" ht="12.75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6"/>
      <c r="W93" s="16"/>
      <c r="X93" s="16"/>
      <c r="Y93" s="16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</row>
    <row r="94" spans="1:45" ht="12.75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6"/>
      <c r="W94" s="16"/>
      <c r="X94" s="16"/>
      <c r="Y94" s="16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</row>
    <row r="95" spans="1:45" ht="12.75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6"/>
      <c r="W95" s="16"/>
      <c r="X95" s="16"/>
      <c r="Y95" s="16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</row>
    <row r="96" spans="1:45" ht="12.75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6"/>
      <c r="W96" s="16"/>
      <c r="X96" s="16"/>
      <c r="Y96" s="16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</row>
    <row r="97" spans="2:45" ht="12.75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6"/>
      <c r="W97" s="16"/>
      <c r="X97" s="16"/>
      <c r="Y97" s="16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</row>
    <row r="98" spans="2:45" ht="12.75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6"/>
      <c r="W98" s="16"/>
      <c r="X98" s="16"/>
      <c r="Y98" s="16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</row>
    <row r="99" spans="2:45" ht="12.75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6"/>
      <c r="W99" s="16"/>
      <c r="X99" s="16"/>
      <c r="Y99" s="16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</row>
    <row r="100" spans="2:45" ht="12.75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6"/>
      <c r="W100" s="16"/>
      <c r="X100" s="16"/>
      <c r="Y100" s="16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</row>
    <row r="101" spans="2:45" ht="12.75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6"/>
      <c r="W101" s="16"/>
      <c r="X101" s="16"/>
      <c r="Y101" s="16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</row>
    <row r="102" spans="2:45" ht="12.75" x14ac:dyDescent="0.2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6"/>
      <c r="W102" s="16"/>
      <c r="X102" s="16"/>
      <c r="Y102" s="16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</row>
    <row r="103" spans="2:45" ht="12.75" x14ac:dyDescent="0.2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6"/>
      <c r="W103" s="16"/>
      <c r="X103" s="16"/>
      <c r="Y103" s="16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</row>
    <row r="104" spans="2:45" ht="12.75" x14ac:dyDescent="0.2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6"/>
      <c r="W104" s="16"/>
      <c r="X104" s="16"/>
      <c r="Y104" s="16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</row>
    <row r="105" spans="2:45" ht="12.75" x14ac:dyDescent="0.2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6"/>
      <c r="W105" s="16"/>
      <c r="X105" s="16"/>
      <c r="Y105" s="16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</row>
    <row r="106" spans="2:45" ht="12.75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6"/>
      <c r="W106" s="16"/>
      <c r="X106" s="16"/>
      <c r="Y106" s="16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</row>
    <row r="107" spans="2:45" ht="12.75" x14ac:dyDescent="0.2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6"/>
      <c r="W107" s="16"/>
      <c r="X107" s="16"/>
      <c r="Y107" s="16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</row>
    <row r="108" spans="2:45" ht="12.75" x14ac:dyDescent="0.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6"/>
      <c r="W108" s="16"/>
      <c r="X108" s="16"/>
      <c r="Y108" s="16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</row>
    <row r="109" spans="2:45" ht="12.75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6"/>
      <c r="W109" s="16"/>
      <c r="X109" s="16"/>
      <c r="Y109" s="16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</row>
    <row r="110" spans="2:45" ht="12.75" x14ac:dyDescent="0.2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6"/>
      <c r="W110" s="16"/>
      <c r="X110" s="16"/>
      <c r="Y110" s="16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</row>
    <row r="111" spans="2:45" ht="12.75" x14ac:dyDescent="0.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6"/>
      <c r="W111" s="16"/>
      <c r="X111" s="16"/>
      <c r="Y111" s="16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</row>
    <row r="112" spans="2:45" ht="12.75" x14ac:dyDescent="0.2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6"/>
      <c r="W112" s="16"/>
      <c r="X112" s="16"/>
      <c r="Y112" s="16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</row>
    <row r="113" spans="2:45" ht="12.75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6"/>
      <c r="W113" s="16"/>
      <c r="X113" s="16"/>
      <c r="Y113" s="16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</row>
    <row r="114" spans="2:45" ht="12.75" x14ac:dyDescent="0.2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6"/>
      <c r="W114" s="16"/>
      <c r="X114" s="16"/>
      <c r="Y114" s="16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</row>
    <row r="115" spans="2:45" ht="12.75" x14ac:dyDescent="0.2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6"/>
      <c r="W115" s="16"/>
      <c r="X115" s="16"/>
      <c r="Y115" s="16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</row>
    <row r="116" spans="2:45" ht="12.75" x14ac:dyDescent="0.2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6"/>
      <c r="W116" s="16"/>
      <c r="X116" s="16"/>
      <c r="Y116" s="16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</row>
    <row r="117" spans="2:45" ht="12.75" x14ac:dyDescent="0.2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6"/>
      <c r="W117" s="16"/>
      <c r="X117" s="16"/>
      <c r="Y117" s="16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</row>
    <row r="118" spans="2:45" ht="12.75" x14ac:dyDescent="0.2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6"/>
      <c r="W118" s="16"/>
      <c r="X118" s="16"/>
      <c r="Y118" s="16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</row>
    <row r="119" spans="2:45" ht="12.75" x14ac:dyDescent="0.2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6"/>
      <c r="W119" s="16"/>
      <c r="X119" s="16"/>
      <c r="Y119" s="16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</row>
    <row r="120" spans="2:45" ht="12.75" x14ac:dyDescent="0.2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6"/>
      <c r="W120" s="16"/>
      <c r="X120" s="16"/>
      <c r="Y120" s="16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</row>
    <row r="121" spans="2:45" ht="12.75" x14ac:dyDescent="0.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6"/>
      <c r="W121" s="16"/>
      <c r="X121" s="16"/>
      <c r="Y121" s="16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</row>
    <row r="122" spans="2:45" ht="12.75" x14ac:dyDescent="0.2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6"/>
      <c r="W122" s="16"/>
      <c r="X122" s="16"/>
      <c r="Y122" s="16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</row>
    <row r="123" spans="2:45" ht="12.75" x14ac:dyDescent="0.2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6"/>
      <c r="W123" s="16"/>
      <c r="X123" s="16"/>
      <c r="Y123" s="16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</row>
    <row r="124" spans="2:45" ht="12.75" x14ac:dyDescent="0.2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6"/>
      <c r="W124" s="16"/>
      <c r="X124" s="16"/>
      <c r="Y124" s="16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</row>
    <row r="125" spans="2:45" ht="12.75" x14ac:dyDescent="0.2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6"/>
      <c r="W125" s="16"/>
      <c r="X125" s="16"/>
      <c r="Y125" s="16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</row>
    <row r="126" spans="2:45" ht="12.75" x14ac:dyDescent="0.2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6"/>
      <c r="W126" s="16"/>
      <c r="X126" s="16"/>
      <c r="Y126" s="16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</row>
    <row r="127" spans="2:45" ht="12.75" x14ac:dyDescent="0.2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6"/>
      <c r="W127" s="16"/>
      <c r="X127" s="16"/>
      <c r="Y127" s="16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</row>
    <row r="128" spans="2:45" ht="12.75" x14ac:dyDescent="0.2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6"/>
      <c r="W128" s="16"/>
      <c r="X128" s="16"/>
      <c r="Y128" s="16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</row>
    <row r="129" spans="2:45" ht="12.75" x14ac:dyDescent="0.2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6"/>
      <c r="W129" s="16"/>
      <c r="X129" s="16"/>
      <c r="Y129" s="16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</row>
    <row r="130" spans="2:45" ht="12.75" x14ac:dyDescent="0.2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6"/>
      <c r="W130" s="16"/>
      <c r="X130" s="16"/>
      <c r="Y130" s="16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</row>
    <row r="131" spans="2:45" ht="12.75" x14ac:dyDescent="0.2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6"/>
      <c r="W131" s="16"/>
      <c r="X131" s="16"/>
      <c r="Y131" s="16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</row>
    <row r="132" spans="2:45" ht="12.75" x14ac:dyDescent="0.2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6"/>
      <c r="W132" s="16"/>
      <c r="X132" s="16"/>
      <c r="Y132" s="16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</row>
    <row r="133" spans="2:45" ht="12.75" x14ac:dyDescent="0.2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6"/>
      <c r="W133" s="16"/>
      <c r="X133" s="16"/>
      <c r="Y133" s="16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</row>
    <row r="134" spans="2:45" ht="12.75" x14ac:dyDescent="0.2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6"/>
      <c r="W134" s="16"/>
      <c r="X134" s="16"/>
      <c r="Y134" s="16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</row>
    <row r="135" spans="2:45" ht="12.75" x14ac:dyDescent="0.2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6"/>
      <c r="W135" s="16"/>
      <c r="X135" s="16"/>
      <c r="Y135" s="16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</row>
    <row r="136" spans="2:45" ht="12.75" x14ac:dyDescent="0.2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6"/>
      <c r="W136" s="16"/>
      <c r="X136" s="16"/>
      <c r="Y136" s="16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</row>
    <row r="137" spans="2:45" ht="12.75" x14ac:dyDescent="0.2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6"/>
      <c r="W137" s="16"/>
      <c r="X137" s="16"/>
      <c r="Y137" s="16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</row>
    <row r="138" spans="2:45" ht="12.75" x14ac:dyDescent="0.2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6"/>
      <c r="W138" s="16"/>
      <c r="X138" s="16"/>
      <c r="Y138" s="16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</row>
    <row r="139" spans="2:45" ht="12.75" x14ac:dyDescent="0.2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6"/>
      <c r="W139" s="16"/>
      <c r="X139" s="16"/>
      <c r="Y139" s="16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</row>
    <row r="140" spans="2:45" ht="12.75" x14ac:dyDescent="0.2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6"/>
      <c r="W140" s="16"/>
      <c r="X140" s="16"/>
      <c r="Y140" s="16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</row>
    <row r="141" spans="2:45" ht="12.75" x14ac:dyDescent="0.2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6"/>
      <c r="W141" s="16"/>
      <c r="X141" s="16"/>
      <c r="Y141" s="16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</row>
    <row r="142" spans="2:45" ht="12.75" x14ac:dyDescent="0.2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6"/>
      <c r="W142" s="16"/>
      <c r="X142" s="16"/>
      <c r="Y142" s="16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</row>
    <row r="143" spans="2:45" ht="12.75" x14ac:dyDescent="0.2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6"/>
      <c r="W143" s="16"/>
      <c r="X143" s="16"/>
      <c r="Y143" s="16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</row>
    <row r="144" spans="2:45" ht="12.75" x14ac:dyDescent="0.2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6"/>
      <c r="W144" s="16"/>
      <c r="X144" s="16"/>
      <c r="Y144" s="16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</row>
    <row r="145" spans="2:45" ht="12.75" x14ac:dyDescent="0.2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6"/>
      <c r="W145" s="16"/>
      <c r="X145" s="16"/>
      <c r="Y145" s="16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</row>
    <row r="146" spans="2:45" ht="12.75" x14ac:dyDescent="0.2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6"/>
      <c r="W146" s="16"/>
      <c r="X146" s="16"/>
      <c r="Y146" s="16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</row>
    <row r="147" spans="2:45" ht="12.75" x14ac:dyDescent="0.2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6"/>
      <c r="W147" s="16"/>
      <c r="X147" s="16"/>
      <c r="Y147" s="16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</row>
    <row r="148" spans="2:45" ht="12.75" x14ac:dyDescent="0.2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6"/>
      <c r="W148" s="16"/>
      <c r="X148" s="16"/>
      <c r="Y148" s="16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</row>
    <row r="149" spans="2:45" ht="12.75" x14ac:dyDescent="0.2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6"/>
      <c r="W149" s="16"/>
      <c r="X149" s="16"/>
      <c r="Y149" s="16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</row>
    <row r="150" spans="2:45" ht="12.75" x14ac:dyDescent="0.2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6"/>
      <c r="W150" s="16"/>
      <c r="X150" s="16"/>
      <c r="Y150" s="16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</row>
    <row r="151" spans="2:45" ht="12.75" x14ac:dyDescent="0.2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6"/>
      <c r="W151" s="16"/>
      <c r="X151" s="16"/>
      <c r="Y151" s="16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</row>
    <row r="152" spans="2:45" ht="12.75" x14ac:dyDescent="0.2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6"/>
      <c r="W152" s="16"/>
      <c r="X152" s="16"/>
      <c r="Y152" s="16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</row>
    <row r="153" spans="2:45" ht="12.75" x14ac:dyDescent="0.2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6"/>
      <c r="W153" s="16"/>
      <c r="X153" s="16"/>
      <c r="Y153" s="16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</row>
    <row r="154" spans="2:45" ht="12.75" x14ac:dyDescent="0.2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6"/>
      <c r="W154" s="16"/>
      <c r="X154" s="16"/>
      <c r="Y154" s="16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</row>
    <row r="155" spans="2:45" ht="12.75" x14ac:dyDescent="0.2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6"/>
      <c r="W155" s="16"/>
      <c r="X155" s="16"/>
      <c r="Y155" s="16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</row>
    <row r="156" spans="2:45" ht="12.75" x14ac:dyDescent="0.2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6"/>
      <c r="W156" s="16"/>
      <c r="X156" s="16"/>
      <c r="Y156" s="16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</row>
    <row r="157" spans="2:45" ht="12.75" x14ac:dyDescent="0.2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6"/>
      <c r="W157" s="16"/>
      <c r="X157" s="16"/>
      <c r="Y157" s="16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</row>
    <row r="158" spans="2:45" ht="12.75" x14ac:dyDescent="0.2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6"/>
      <c r="W158" s="16"/>
      <c r="X158" s="16"/>
      <c r="Y158" s="16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</row>
    <row r="159" spans="2:45" ht="12.75" x14ac:dyDescent="0.2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6"/>
      <c r="W159" s="16"/>
      <c r="X159" s="16"/>
      <c r="Y159" s="16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</row>
    <row r="160" spans="2:45" ht="12.75" x14ac:dyDescent="0.2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6"/>
      <c r="W160" s="16"/>
      <c r="X160" s="16"/>
      <c r="Y160" s="16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</row>
    <row r="161" spans="2:45" ht="12.75" x14ac:dyDescent="0.2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6"/>
      <c r="W161" s="16"/>
      <c r="X161" s="16"/>
      <c r="Y161" s="16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</row>
    <row r="162" spans="2:45" ht="12.75" x14ac:dyDescent="0.2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6"/>
      <c r="W162" s="16"/>
      <c r="X162" s="16"/>
      <c r="Y162" s="16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</row>
    <row r="163" spans="2:45" ht="12.75" x14ac:dyDescent="0.2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6"/>
      <c r="W163" s="16"/>
      <c r="X163" s="16"/>
      <c r="Y163" s="16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</row>
    <row r="164" spans="2:45" ht="12.75" x14ac:dyDescent="0.2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6"/>
      <c r="W164" s="16"/>
      <c r="X164" s="16"/>
      <c r="Y164" s="16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</row>
    <row r="165" spans="2:45" ht="12.75" x14ac:dyDescent="0.2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6"/>
      <c r="W165" s="16"/>
      <c r="X165" s="16"/>
      <c r="Y165" s="16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</row>
    <row r="166" spans="2:45" ht="12.75" x14ac:dyDescent="0.2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6"/>
      <c r="W166" s="16"/>
      <c r="X166" s="16"/>
      <c r="Y166" s="16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</row>
    <row r="167" spans="2:45" ht="12.75" x14ac:dyDescent="0.2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6"/>
      <c r="W167" s="16"/>
      <c r="X167" s="16"/>
      <c r="Y167" s="16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</row>
    <row r="168" spans="2:45" ht="12.75" x14ac:dyDescent="0.2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6"/>
      <c r="W168" s="16"/>
      <c r="X168" s="16"/>
      <c r="Y168" s="16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</row>
    <row r="169" spans="2:45" ht="12.75" x14ac:dyDescent="0.2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6"/>
      <c r="W169" s="16"/>
      <c r="X169" s="16"/>
      <c r="Y169" s="16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</row>
    <row r="170" spans="2:45" ht="12.75" x14ac:dyDescent="0.2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6"/>
      <c r="W170" s="16"/>
      <c r="X170" s="16"/>
      <c r="Y170" s="16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</row>
    <row r="171" spans="2:45" ht="12.75" x14ac:dyDescent="0.2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6"/>
      <c r="W171" s="16"/>
      <c r="X171" s="16"/>
      <c r="Y171" s="16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</row>
    <row r="172" spans="2:45" ht="12.75" x14ac:dyDescent="0.2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6"/>
      <c r="W172" s="16"/>
      <c r="X172" s="16"/>
      <c r="Y172" s="16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</row>
    <row r="173" spans="2:45" ht="12.75" x14ac:dyDescent="0.2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6"/>
      <c r="W173" s="16"/>
      <c r="X173" s="16"/>
      <c r="Y173" s="16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</row>
    <row r="174" spans="2:45" ht="12.75" x14ac:dyDescent="0.2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6"/>
      <c r="W174" s="16"/>
      <c r="X174" s="16"/>
      <c r="Y174" s="16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</row>
    <row r="175" spans="2:45" ht="12.75" x14ac:dyDescent="0.2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6"/>
      <c r="W175" s="16"/>
      <c r="X175" s="16"/>
      <c r="Y175" s="16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</row>
    <row r="176" spans="2:45" ht="12.75" x14ac:dyDescent="0.2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6"/>
      <c r="W176" s="16"/>
      <c r="X176" s="16"/>
      <c r="Y176" s="16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</row>
    <row r="177" spans="2:45" ht="12.75" x14ac:dyDescent="0.2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6"/>
      <c r="W177" s="16"/>
      <c r="X177" s="16"/>
      <c r="Y177" s="16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</row>
    <row r="178" spans="2:45" ht="12.75" x14ac:dyDescent="0.2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6"/>
      <c r="W178" s="16"/>
      <c r="X178" s="16"/>
      <c r="Y178" s="16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</row>
    <row r="179" spans="2:45" ht="12.75" x14ac:dyDescent="0.2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6"/>
      <c r="W179" s="16"/>
      <c r="X179" s="16"/>
      <c r="Y179" s="16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</row>
    <row r="180" spans="2:45" ht="12.75" x14ac:dyDescent="0.2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6"/>
      <c r="W180" s="16"/>
      <c r="X180" s="16"/>
      <c r="Y180" s="16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</row>
    <row r="181" spans="2:45" ht="12.75" x14ac:dyDescent="0.2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6"/>
      <c r="W181" s="16"/>
      <c r="X181" s="16"/>
      <c r="Y181" s="16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</row>
    <row r="182" spans="2:45" ht="12.75" x14ac:dyDescent="0.2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6"/>
      <c r="W182" s="16"/>
      <c r="X182" s="16"/>
      <c r="Y182" s="16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</row>
    <row r="183" spans="2:45" ht="12.75" x14ac:dyDescent="0.2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6"/>
      <c r="W183" s="16"/>
      <c r="X183" s="16"/>
      <c r="Y183" s="16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</row>
    <row r="184" spans="2:45" ht="12.75" x14ac:dyDescent="0.2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6"/>
      <c r="W184" s="16"/>
      <c r="X184" s="16"/>
      <c r="Y184" s="16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</row>
    <row r="185" spans="2:45" ht="12.75" x14ac:dyDescent="0.2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6"/>
      <c r="W185" s="16"/>
      <c r="X185" s="16"/>
      <c r="Y185" s="16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</row>
    <row r="186" spans="2:45" ht="12.75" x14ac:dyDescent="0.2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6"/>
      <c r="W186" s="16"/>
      <c r="X186" s="16"/>
      <c r="Y186" s="16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</row>
    <row r="187" spans="2:45" ht="12.75" x14ac:dyDescent="0.2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6"/>
      <c r="W187" s="16"/>
      <c r="X187" s="16"/>
      <c r="Y187" s="16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</row>
    <row r="188" spans="2:45" ht="12.75" x14ac:dyDescent="0.2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6"/>
      <c r="W188" s="16"/>
      <c r="X188" s="16"/>
      <c r="Y188" s="16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</row>
    <row r="189" spans="2:45" ht="12.75" x14ac:dyDescent="0.2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6"/>
      <c r="W189" s="16"/>
      <c r="X189" s="16"/>
      <c r="Y189" s="16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</row>
    <row r="190" spans="2:45" ht="12.75" x14ac:dyDescent="0.2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6"/>
      <c r="W190" s="16"/>
      <c r="X190" s="16"/>
      <c r="Y190" s="16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</row>
    <row r="191" spans="2:45" ht="12.75" x14ac:dyDescent="0.2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6"/>
      <c r="W191" s="16"/>
      <c r="X191" s="16"/>
      <c r="Y191" s="16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</row>
    <row r="192" spans="2:45" ht="12.75" x14ac:dyDescent="0.2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6"/>
      <c r="W192" s="16"/>
      <c r="X192" s="16"/>
      <c r="Y192" s="16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</row>
    <row r="193" spans="2:45" ht="12.75" x14ac:dyDescent="0.2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6"/>
      <c r="W193" s="16"/>
      <c r="X193" s="16"/>
      <c r="Y193" s="16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</row>
    <row r="194" spans="2:45" ht="12.75" x14ac:dyDescent="0.2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6"/>
      <c r="W194" s="16"/>
      <c r="X194" s="16"/>
      <c r="Y194" s="16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</row>
    <row r="195" spans="2:45" ht="12.75" x14ac:dyDescent="0.2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6"/>
      <c r="W195" s="16"/>
      <c r="X195" s="16"/>
      <c r="Y195" s="16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</row>
    <row r="196" spans="2:45" ht="12.75" x14ac:dyDescent="0.2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6"/>
      <c r="W196" s="16"/>
      <c r="X196" s="16"/>
      <c r="Y196" s="16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</row>
    <row r="197" spans="2:45" ht="12.75" x14ac:dyDescent="0.2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6"/>
      <c r="W197" s="16"/>
      <c r="X197" s="16"/>
      <c r="Y197" s="16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</row>
    <row r="198" spans="2:45" ht="12.75" x14ac:dyDescent="0.2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6"/>
      <c r="W198" s="16"/>
      <c r="X198" s="16"/>
      <c r="Y198" s="16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</row>
    <row r="199" spans="2:45" ht="12.75" x14ac:dyDescent="0.2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6"/>
      <c r="W199" s="16"/>
      <c r="X199" s="16"/>
      <c r="Y199" s="16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</row>
    <row r="200" spans="2:45" ht="12.75" x14ac:dyDescent="0.2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6"/>
      <c r="W200" s="16"/>
      <c r="X200" s="16"/>
      <c r="Y200" s="16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</row>
    <row r="201" spans="2:45" ht="12.75" x14ac:dyDescent="0.2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6"/>
      <c r="W201" s="16"/>
      <c r="X201" s="16"/>
      <c r="Y201" s="16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</row>
    <row r="202" spans="2:45" ht="12.75" x14ac:dyDescent="0.2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6"/>
      <c r="W202" s="16"/>
      <c r="X202" s="16"/>
      <c r="Y202" s="16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</row>
    <row r="203" spans="2:45" ht="12.75" x14ac:dyDescent="0.2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6"/>
      <c r="W203" s="16"/>
      <c r="X203" s="16"/>
      <c r="Y203" s="16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</row>
    <row r="204" spans="2:45" ht="12.75" x14ac:dyDescent="0.2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6"/>
      <c r="W204" s="16"/>
      <c r="X204" s="16"/>
      <c r="Y204" s="16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</row>
    <row r="205" spans="2:45" ht="12.75" x14ac:dyDescent="0.2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6"/>
      <c r="W205" s="16"/>
      <c r="X205" s="16"/>
      <c r="Y205" s="16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</row>
    <row r="206" spans="2:45" ht="12.75" x14ac:dyDescent="0.2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6"/>
      <c r="W206" s="16"/>
      <c r="X206" s="16"/>
      <c r="Y206" s="16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</row>
    <row r="207" spans="2:45" ht="12.75" x14ac:dyDescent="0.2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6"/>
      <c r="W207" s="16"/>
      <c r="X207" s="16"/>
      <c r="Y207" s="16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</row>
    <row r="208" spans="2:45" ht="12.75" x14ac:dyDescent="0.2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6"/>
      <c r="W208" s="16"/>
      <c r="X208" s="16"/>
      <c r="Y208" s="16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</row>
    <row r="209" spans="2:45" ht="12.75" x14ac:dyDescent="0.2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6"/>
      <c r="W209" s="16"/>
      <c r="X209" s="16"/>
      <c r="Y209" s="16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</row>
    <row r="210" spans="2:45" ht="12.75" x14ac:dyDescent="0.2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6"/>
      <c r="W210" s="16"/>
      <c r="X210" s="16"/>
      <c r="Y210" s="16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</row>
    <row r="211" spans="2:45" ht="12.75" x14ac:dyDescent="0.2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6"/>
      <c r="W211" s="16"/>
      <c r="X211" s="16"/>
      <c r="Y211" s="16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</row>
    <row r="212" spans="2:45" ht="12.75" x14ac:dyDescent="0.2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6"/>
      <c r="W212" s="16"/>
      <c r="X212" s="16"/>
      <c r="Y212" s="16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</row>
    <row r="213" spans="2:45" ht="12.75" x14ac:dyDescent="0.2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6"/>
      <c r="W213" s="16"/>
      <c r="X213" s="16"/>
      <c r="Y213" s="16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</row>
    <row r="214" spans="2:45" ht="12.75" x14ac:dyDescent="0.2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6"/>
      <c r="W214" s="16"/>
      <c r="X214" s="16"/>
      <c r="Y214" s="16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</row>
    <row r="215" spans="2:45" ht="12.75" x14ac:dyDescent="0.2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6"/>
      <c r="W215" s="16"/>
      <c r="X215" s="16"/>
      <c r="Y215" s="16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</row>
    <row r="216" spans="2:45" ht="12.75" x14ac:dyDescent="0.2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6"/>
      <c r="W216" s="16"/>
      <c r="X216" s="16"/>
      <c r="Y216" s="16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</row>
    <row r="217" spans="2:45" ht="12.75" x14ac:dyDescent="0.2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6"/>
      <c r="W217" s="16"/>
      <c r="X217" s="16"/>
      <c r="Y217" s="16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</row>
    <row r="218" spans="2:45" ht="12.75" x14ac:dyDescent="0.2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6"/>
      <c r="W218" s="16"/>
      <c r="X218" s="16"/>
      <c r="Y218" s="16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</row>
    <row r="219" spans="2:45" ht="12.75" x14ac:dyDescent="0.2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6"/>
      <c r="W219" s="16"/>
      <c r="X219" s="16"/>
      <c r="Y219" s="16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</row>
    <row r="220" spans="2:45" ht="12.75" x14ac:dyDescent="0.2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6"/>
      <c r="W220" s="16"/>
      <c r="X220" s="16"/>
      <c r="Y220" s="16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</row>
    <row r="221" spans="2:45" ht="12.75" x14ac:dyDescent="0.2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6"/>
      <c r="W221" s="16"/>
      <c r="X221" s="16"/>
      <c r="Y221" s="16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</row>
    <row r="222" spans="2:45" ht="12.75" x14ac:dyDescent="0.2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6"/>
      <c r="W222" s="16"/>
      <c r="X222" s="16"/>
      <c r="Y222" s="16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</row>
    <row r="223" spans="2:45" ht="12.75" x14ac:dyDescent="0.2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6"/>
      <c r="W223" s="16"/>
      <c r="X223" s="16"/>
      <c r="Y223" s="16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</row>
    <row r="224" spans="2:45" ht="12.75" x14ac:dyDescent="0.2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6"/>
      <c r="W224" s="16"/>
      <c r="X224" s="16"/>
      <c r="Y224" s="16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</row>
    <row r="225" spans="2:45" ht="12.75" x14ac:dyDescent="0.2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6"/>
      <c r="W225" s="16"/>
      <c r="X225" s="16"/>
      <c r="Y225" s="16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</row>
    <row r="226" spans="2:45" ht="12.75" x14ac:dyDescent="0.2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6"/>
      <c r="W226" s="16"/>
      <c r="X226" s="16"/>
      <c r="Y226" s="16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</row>
    <row r="227" spans="2:45" ht="12.75" x14ac:dyDescent="0.2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6"/>
      <c r="W227" s="16"/>
      <c r="X227" s="16"/>
      <c r="Y227" s="16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</row>
    <row r="228" spans="2:45" ht="12.75" x14ac:dyDescent="0.2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6"/>
      <c r="W228" s="16"/>
      <c r="X228" s="16"/>
      <c r="Y228" s="16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</row>
    <row r="229" spans="2:45" ht="12.75" x14ac:dyDescent="0.2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6"/>
      <c r="W229" s="16"/>
      <c r="X229" s="16"/>
      <c r="Y229" s="16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</row>
    <row r="230" spans="2:45" ht="12.75" x14ac:dyDescent="0.2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6"/>
      <c r="W230" s="16"/>
      <c r="X230" s="16"/>
      <c r="Y230" s="16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</row>
    <row r="231" spans="2:45" ht="12.75" x14ac:dyDescent="0.2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6"/>
      <c r="W231" s="16"/>
      <c r="X231" s="16"/>
      <c r="Y231" s="16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</row>
    <row r="232" spans="2:45" ht="12.75" x14ac:dyDescent="0.2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6"/>
      <c r="W232" s="16"/>
      <c r="X232" s="16"/>
      <c r="Y232" s="16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</row>
    <row r="233" spans="2:45" ht="12.75" x14ac:dyDescent="0.2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6"/>
      <c r="W233" s="16"/>
      <c r="X233" s="16"/>
      <c r="Y233" s="16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</row>
    <row r="234" spans="2:45" ht="12.75" x14ac:dyDescent="0.2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6"/>
      <c r="W234" s="16"/>
      <c r="X234" s="16"/>
      <c r="Y234" s="16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</row>
    <row r="235" spans="2:45" ht="12.75" x14ac:dyDescent="0.2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6"/>
      <c r="W235" s="16"/>
      <c r="X235" s="16"/>
      <c r="Y235" s="16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</row>
    <row r="236" spans="2:45" ht="12.75" x14ac:dyDescent="0.2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6"/>
      <c r="W236" s="16"/>
      <c r="X236" s="16"/>
      <c r="Y236" s="16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</row>
    <row r="237" spans="2:45" ht="12.75" x14ac:dyDescent="0.2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6"/>
      <c r="W237" s="16"/>
      <c r="X237" s="16"/>
      <c r="Y237" s="16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</row>
    <row r="238" spans="2:45" ht="12.75" x14ac:dyDescent="0.2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6"/>
      <c r="W238" s="16"/>
      <c r="X238" s="16"/>
      <c r="Y238" s="16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</row>
    <row r="239" spans="2:45" ht="12.75" x14ac:dyDescent="0.2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6"/>
      <c r="W239" s="16"/>
      <c r="X239" s="16"/>
      <c r="Y239" s="16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</row>
    <row r="240" spans="2:45" ht="12.75" x14ac:dyDescent="0.2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6"/>
      <c r="W240" s="16"/>
      <c r="X240" s="16"/>
      <c r="Y240" s="16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</row>
    <row r="241" spans="2:45" ht="12.75" x14ac:dyDescent="0.2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6"/>
      <c r="W241" s="16"/>
      <c r="X241" s="16"/>
      <c r="Y241" s="16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</row>
    <row r="242" spans="2:45" ht="12.75" x14ac:dyDescent="0.2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6"/>
      <c r="W242" s="16"/>
      <c r="X242" s="16"/>
      <c r="Y242" s="16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</row>
    <row r="243" spans="2:45" ht="12.75" x14ac:dyDescent="0.2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6"/>
      <c r="W243" s="16"/>
      <c r="X243" s="16"/>
      <c r="Y243" s="16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</row>
    <row r="244" spans="2:45" ht="12.75" x14ac:dyDescent="0.2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6"/>
      <c r="W244" s="16"/>
      <c r="X244" s="16"/>
      <c r="Y244" s="16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</row>
    <row r="245" spans="2:45" ht="12.75" x14ac:dyDescent="0.2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6"/>
      <c r="W245" s="16"/>
      <c r="X245" s="16"/>
      <c r="Y245" s="16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</row>
    <row r="246" spans="2:45" ht="12.75" x14ac:dyDescent="0.2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6"/>
      <c r="W246" s="16"/>
      <c r="X246" s="16"/>
      <c r="Y246" s="16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</row>
    <row r="247" spans="2:45" ht="12.75" x14ac:dyDescent="0.2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6"/>
      <c r="W247" s="16"/>
      <c r="X247" s="16"/>
      <c r="Y247" s="16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</row>
    <row r="248" spans="2:45" ht="12.75" x14ac:dyDescent="0.2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6"/>
      <c r="W248" s="16"/>
      <c r="X248" s="16"/>
      <c r="Y248" s="16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</row>
    <row r="249" spans="2:45" ht="12.75" x14ac:dyDescent="0.2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6"/>
      <c r="W249" s="16"/>
      <c r="X249" s="16"/>
      <c r="Y249" s="16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</row>
    <row r="250" spans="2:45" ht="12.75" x14ac:dyDescent="0.2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6"/>
      <c r="W250" s="16"/>
      <c r="X250" s="16"/>
      <c r="Y250" s="16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</row>
    <row r="251" spans="2:45" ht="12.75" x14ac:dyDescent="0.2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6"/>
      <c r="W251" s="16"/>
      <c r="X251" s="16"/>
      <c r="Y251" s="16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</row>
    <row r="252" spans="2:45" ht="12.75" x14ac:dyDescent="0.2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6"/>
      <c r="W252" s="16"/>
      <c r="X252" s="16"/>
      <c r="Y252" s="16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</row>
    <row r="253" spans="2:45" ht="12.75" x14ac:dyDescent="0.2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6"/>
      <c r="W253" s="16"/>
      <c r="X253" s="16"/>
      <c r="Y253" s="16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</row>
    <row r="254" spans="2:45" ht="12.75" x14ac:dyDescent="0.2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6"/>
      <c r="W254" s="16"/>
      <c r="X254" s="16"/>
      <c r="Y254" s="16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</row>
    <row r="255" spans="2:45" ht="12.75" x14ac:dyDescent="0.2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6"/>
      <c r="W255" s="16"/>
      <c r="X255" s="16"/>
      <c r="Y255" s="16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</row>
    <row r="256" spans="2:45" ht="12.75" x14ac:dyDescent="0.2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6"/>
      <c r="W256" s="16"/>
      <c r="X256" s="16"/>
      <c r="Y256" s="16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</row>
    <row r="257" spans="2:45" ht="12.75" x14ac:dyDescent="0.2"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6"/>
      <c r="W257" s="16"/>
      <c r="X257" s="16"/>
      <c r="Y257" s="16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</row>
    <row r="258" spans="2:45" ht="12.75" x14ac:dyDescent="0.2"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6"/>
      <c r="W258" s="16"/>
      <c r="X258" s="16"/>
      <c r="Y258" s="16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</row>
    <row r="259" spans="2:45" ht="12.75" x14ac:dyDescent="0.2"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6"/>
      <c r="W259" s="16"/>
      <c r="X259" s="16"/>
      <c r="Y259" s="16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</row>
    <row r="260" spans="2:45" ht="12.75" x14ac:dyDescent="0.2"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6"/>
      <c r="W260" s="16"/>
      <c r="X260" s="16"/>
      <c r="Y260" s="16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</row>
    <row r="261" spans="2:45" ht="12.75" x14ac:dyDescent="0.2"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6"/>
      <c r="W261" s="16"/>
      <c r="X261" s="16"/>
      <c r="Y261" s="16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</row>
    <row r="262" spans="2:45" ht="12.75" x14ac:dyDescent="0.2"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6"/>
      <c r="W262" s="16"/>
      <c r="X262" s="16"/>
      <c r="Y262" s="16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</row>
    <row r="263" spans="2:45" ht="12.75" x14ac:dyDescent="0.2"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6"/>
      <c r="W263" s="16"/>
      <c r="X263" s="16"/>
      <c r="Y263" s="16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</row>
    <row r="264" spans="2:45" ht="12.75" x14ac:dyDescent="0.2"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6"/>
      <c r="W264" s="16"/>
      <c r="X264" s="16"/>
      <c r="Y264" s="16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</row>
    <row r="265" spans="2:45" ht="12.75" x14ac:dyDescent="0.2"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6"/>
      <c r="W265" s="16"/>
      <c r="X265" s="16"/>
      <c r="Y265" s="16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</row>
    <row r="266" spans="2:45" ht="12.75" x14ac:dyDescent="0.2"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6"/>
      <c r="W266" s="16"/>
      <c r="X266" s="16"/>
      <c r="Y266" s="16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</row>
    <row r="267" spans="2:45" ht="12.75" x14ac:dyDescent="0.2"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6"/>
      <c r="W267" s="16"/>
      <c r="X267" s="16"/>
      <c r="Y267" s="16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</row>
    <row r="268" spans="2:45" ht="12.75" x14ac:dyDescent="0.2"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6"/>
      <c r="W268" s="16"/>
      <c r="X268" s="16"/>
      <c r="Y268" s="16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</row>
    <row r="269" spans="2:45" ht="12.75" x14ac:dyDescent="0.2"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6"/>
      <c r="W269" s="16"/>
      <c r="X269" s="16"/>
      <c r="Y269" s="16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</row>
    <row r="270" spans="2:45" ht="12.75" x14ac:dyDescent="0.2"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6"/>
      <c r="W270" s="16"/>
      <c r="X270" s="16"/>
      <c r="Y270" s="16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</row>
    <row r="271" spans="2:45" ht="12.75" x14ac:dyDescent="0.2"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6"/>
      <c r="W271" s="16"/>
      <c r="X271" s="16"/>
      <c r="Y271" s="16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</row>
    <row r="272" spans="2:45" ht="12.75" x14ac:dyDescent="0.2"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6"/>
      <c r="W272" s="16"/>
      <c r="X272" s="16"/>
      <c r="Y272" s="16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</row>
    <row r="273" spans="2:45" ht="12.75" x14ac:dyDescent="0.2"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6"/>
      <c r="W273" s="16"/>
      <c r="X273" s="16"/>
      <c r="Y273" s="16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</row>
    <row r="274" spans="2:45" ht="12.75" x14ac:dyDescent="0.2"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6"/>
      <c r="W274" s="16"/>
      <c r="X274" s="16"/>
      <c r="Y274" s="16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</row>
    <row r="275" spans="2:45" ht="12.75" x14ac:dyDescent="0.2"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6"/>
      <c r="W275" s="16"/>
      <c r="X275" s="16"/>
      <c r="Y275" s="16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</row>
    <row r="276" spans="2:45" ht="12.75" x14ac:dyDescent="0.2"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6"/>
      <c r="W276" s="16"/>
      <c r="X276" s="16"/>
      <c r="Y276" s="16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</row>
    <row r="277" spans="2:45" ht="12.75" x14ac:dyDescent="0.2"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6"/>
      <c r="W277" s="16"/>
      <c r="X277" s="16"/>
      <c r="Y277" s="16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</row>
    <row r="278" spans="2:45" ht="12.75" x14ac:dyDescent="0.2"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6"/>
      <c r="W278" s="16"/>
      <c r="X278" s="16"/>
      <c r="Y278" s="16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</row>
    <row r="279" spans="2:45" ht="12.75" x14ac:dyDescent="0.2"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6"/>
      <c r="W279" s="16"/>
      <c r="X279" s="16"/>
      <c r="Y279" s="16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</row>
    <row r="280" spans="2:45" ht="12.75" x14ac:dyDescent="0.2"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6"/>
      <c r="W280" s="16"/>
      <c r="X280" s="16"/>
      <c r="Y280" s="16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</row>
    <row r="281" spans="2:45" ht="12.75" x14ac:dyDescent="0.2"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6"/>
      <c r="W281" s="16"/>
      <c r="X281" s="16"/>
      <c r="Y281" s="16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</row>
    <row r="282" spans="2:45" ht="12.75" x14ac:dyDescent="0.2"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6"/>
      <c r="W282" s="16"/>
      <c r="X282" s="16"/>
      <c r="Y282" s="16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</row>
    <row r="283" spans="2:45" ht="12.75" x14ac:dyDescent="0.2"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6"/>
      <c r="W283" s="16"/>
      <c r="X283" s="16"/>
      <c r="Y283" s="16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</row>
    <row r="284" spans="2:45" ht="12.75" x14ac:dyDescent="0.2"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6"/>
      <c r="W284" s="16"/>
      <c r="X284" s="16"/>
      <c r="Y284" s="16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</row>
    <row r="285" spans="2:45" ht="12.75" x14ac:dyDescent="0.2"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6"/>
      <c r="W285" s="16"/>
      <c r="X285" s="16"/>
      <c r="Y285" s="16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</row>
    <row r="286" spans="2:45" ht="12.75" x14ac:dyDescent="0.2"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6"/>
      <c r="W286" s="16"/>
      <c r="X286" s="16"/>
      <c r="Y286" s="16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</row>
    <row r="287" spans="2:45" ht="12.75" x14ac:dyDescent="0.2"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6"/>
      <c r="W287" s="16"/>
      <c r="X287" s="16"/>
      <c r="Y287" s="16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</row>
    <row r="288" spans="2:45" ht="12.75" x14ac:dyDescent="0.2"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6"/>
      <c r="W288" s="16"/>
      <c r="X288" s="16"/>
      <c r="Y288" s="16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</row>
    <row r="289" spans="2:45" ht="12.75" x14ac:dyDescent="0.2"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6"/>
      <c r="W289" s="16"/>
      <c r="X289" s="16"/>
      <c r="Y289" s="16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</row>
    <row r="290" spans="2:45" ht="12.75" x14ac:dyDescent="0.2"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6"/>
      <c r="W290" s="16"/>
      <c r="X290" s="16"/>
      <c r="Y290" s="16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</row>
    <row r="291" spans="2:45" ht="12.75" x14ac:dyDescent="0.2"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6"/>
      <c r="W291" s="16"/>
      <c r="X291" s="16"/>
      <c r="Y291" s="16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</row>
    <row r="292" spans="2:45" ht="12.75" x14ac:dyDescent="0.2"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6"/>
      <c r="W292" s="16"/>
      <c r="X292" s="16"/>
      <c r="Y292" s="16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</row>
    <row r="293" spans="2:45" ht="12.75" x14ac:dyDescent="0.2"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6"/>
      <c r="W293" s="16"/>
      <c r="X293" s="16"/>
      <c r="Y293" s="16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</row>
    <row r="294" spans="2:45" ht="12.75" x14ac:dyDescent="0.2"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6"/>
      <c r="W294" s="16"/>
      <c r="X294" s="16"/>
      <c r="Y294" s="16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</row>
    <row r="295" spans="2:45" ht="12.75" x14ac:dyDescent="0.2"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6"/>
      <c r="W295" s="16"/>
      <c r="X295" s="16"/>
      <c r="Y295" s="16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</row>
    <row r="296" spans="2:45" ht="12.75" x14ac:dyDescent="0.2"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6"/>
      <c r="W296" s="16"/>
      <c r="X296" s="16"/>
      <c r="Y296" s="16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</row>
    <row r="297" spans="2:45" ht="12.75" x14ac:dyDescent="0.2"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6"/>
      <c r="W297" s="16"/>
      <c r="X297" s="16"/>
      <c r="Y297" s="16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</row>
    <row r="298" spans="2:45" ht="12.75" x14ac:dyDescent="0.2"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6"/>
      <c r="W298" s="16"/>
      <c r="X298" s="16"/>
      <c r="Y298" s="16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</row>
    <row r="299" spans="2:45" ht="12.75" x14ac:dyDescent="0.2"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6"/>
      <c r="W299" s="16"/>
      <c r="X299" s="16"/>
      <c r="Y299" s="16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</row>
    <row r="300" spans="2:45" ht="12.75" x14ac:dyDescent="0.2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6"/>
      <c r="W300" s="16"/>
      <c r="X300" s="16"/>
      <c r="Y300" s="16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</row>
    <row r="301" spans="2:45" ht="12.75" x14ac:dyDescent="0.2"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6"/>
      <c r="W301" s="16"/>
      <c r="X301" s="16"/>
      <c r="Y301" s="16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</row>
    <row r="302" spans="2:45" ht="12.75" x14ac:dyDescent="0.2"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6"/>
      <c r="W302" s="16"/>
      <c r="X302" s="16"/>
      <c r="Y302" s="16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</row>
    <row r="303" spans="2:45" ht="12.75" x14ac:dyDescent="0.2"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6"/>
      <c r="W303" s="16"/>
      <c r="X303" s="16"/>
      <c r="Y303" s="16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</row>
    <row r="304" spans="2:45" ht="12.75" x14ac:dyDescent="0.2"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6"/>
      <c r="W304" s="16"/>
      <c r="X304" s="16"/>
      <c r="Y304" s="16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</row>
    <row r="305" spans="2:45" ht="12.75" x14ac:dyDescent="0.2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6"/>
      <c r="W305" s="16"/>
      <c r="X305" s="16"/>
      <c r="Y305" s="16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</row>
    <row r="306" spans="2:45" ht="12.75" x14ac:dyDescent="0.2"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6"/>
      <c r="W306" s="16"/>
      <c r="X306" s="16"/>
      <c r="Y306" s="16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</row>
    <row r="307" spans="2:45" ht="12.75" x14ac:dyDescent="0.2"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6"/>
      <c r="W307" s="16"/>
      <c r="X307" s="16"/>
      <c r="Y307" s="16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</row>
    <row r="308" spans="2:45" ht="12.75" x14ac:dyDescent="0.2"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6"/>
      <c r="W308" s="16"/>
      <c r="X308" s="16"/>
      <c r="Y308" s="16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</row>
    <row r="309" spans="2:45" ht="12.75" x14ac:dyDescent="0.2"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6"/>
      <c r="W309" s="16"/>
      <c r="X309" s="16"/>
      <c r="Y309" s="16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</row>
    <row r="310" spans="2:45" ht="12.75" x14ac:dyDescent="0.2"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6"/>
      <c r="W310" s="16"/>
      <c r="X310" s="16"/>
      <c r="Y310" s="16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</row>
    <row r="311" spans="2:45" ht="12.75" x14ac:dyDescent="0.2"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6"/>
      <c r="W311" s="16"/>
      <c r="X311" s="16"/>
      <c r="Y311" s="16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</row>
    <row r="312" spans="2:45" ht="12.75" x14ac:dyDescent="0.2"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6"/>
      <c r="W312" s="16"/>
      <c r="X312" s="16"/>
      <c r="Y312" s="16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</row>
    <row r="313" spans="2:45" ht="12.75" x14ac:dyDescent="0.2"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6"/>
      <c r="W313" s="16"/>
      <c r="X313" s="16"/>
      <c r="Y313" s="16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</row>
    <row r="314" spans="2:45" ht="12.75" x14ac:dyDescent="0.2"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6"/>
      <c r="W314" s="16"/>
      <c r="X314" s="16"/>
      <c r="Y314" s="16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</row>
    <row r="315" spans="2:45" ht="12.75" x14ac:dyDescent="0.2"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6"/>
      <c r="W315" s="16"/>
      <c r="X315" s="16"/>
      <c r="Y315" s="16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</row>
    <row r="316" spans="2:45" ht="12.75" x14ac:dyDescent="0.2"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6"/>
      <c r="W316" s="16"/>
      <c r="X316" s="16"/>
      <c r="Y316" s="16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</row>
    <row r="317" spans="2:45" ht="12.75" x14ac:dyDescent="0.2"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6"/>
      <c r="W317" s="16"/>
      <c r="X317" s="16"/>
      <c r="Y317" s="16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</row>
    <row r="318" spans="2:45" ht="12.75" x14ac:dyDescent="0.2"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6"/>
      <c r="W318" s="16"/>
      <c r="X318" s="16"/>
      <c r="Y318" s="16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</row>
    <row r="319" spans="2:45" ht="12.75" x14ac:dyDescent="0.2"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6"/>
      <c r="W319" s="16"/>
      <c r="X319" s="16"/>
      <c r="Y319" s="16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</row>
    <row r="320" spans="2:45" ht="12.75" x14ac:dyDescent="0.2"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6"/>
      <c r="W320" s="16"/>
      <c r="X320" s="16"/>
      <c r="Y320" s="16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</row>
    <row r="321" spans="2:45" ht="12.75" x14ac:dyDescent="0.2"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6"/>
      <c r="W321" s="16"/>
      <c r="X321" s="16"/>
      <c r="Y321" s="16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</row>
    <row r="322" spans="2:45" ht="12.75" x14ac:dyDescent="0.2"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6"/>
      <c r="W322" s="16"/>
      <c r="X322" s="16"/>
      <c r="Y322" s="16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</row>
    <row r="323" spans="2:45" ht="12.75" x14ac:dyDescent="0.2"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6"/>
      <c r="W323" s="16"/>
      <c r="X323" s="16"/>
      <c r="Y323" s="16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</row>
    <row r="324" spans="2:45" ht="12.75" x14ac:dyDescent="0.2"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6"/>
      <c r="W324" s="16"/>
      <c r="X324" s="16"/>
      <c r="Y324" s="16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</row>
    <row r="325" spans="2:45" ht="12.75" x14ac:dyDescent="0.2"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6"/>
      <c r="W325" s="16"/>
      <c r="X325" s="16"/>
      <c r="Y325" s="16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</row>
    <row r="326" spans="2:45" ht="12.75" x14ac:dyDescent="0.2"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6"/>
      <c r="W326" s="16"/>
      <c r="X326" s="16"/>
      <c r="Y326" s="16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</row>
    <row r="327" spans="2:45" ht="12.75" x14ac:dyDescent="0.2"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6"/>
      <c r="W327" s="16"/>
      <c r="X327" s="16"/>
      <c r="Y327" s="16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</row>
    <row r="328" spans="2:45" ht="12.75" x14ac:dyDescent="0.2"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6"/>
      <c r="W328" s="16"/>
      <c r="X328" s="16"/>
      <c r="Y328" s="16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</row>
    <row r="329" spans="2:45" ht="12.75" x14ac:dyDescent="0.2"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6"/>
      <c r="W329" s="16"/>
      <c r="X329" s="16"/>
      <c r="Y329" s="16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</row>
    <row r="330" spans="2:45" ht="12.75" x14ac:dyDescent="0.2"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6"/>
      <c r="W330" s="16"/>
      <c r="X330" s="16"/>
      <c r="Y330" s="16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</row>
    <row r="331" spans="2:45" ht="12.75" x14ac:dyDescent="0.2"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6"/>
      <c r="W331" s="16"/>
      <c r="X331" s="16"/>
      <c r="Y331" s="16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</row>
    <row r="332" spans="2:45" ht="12.75" x14ac:dyDescent="0.2"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6"/>
      <c r="W332" s="16"/>
      <c r="X332" s="16"/>
      <c r="Y332" s="16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</row>
    <row r="333" spans="2:45" ht="12.75" x14ac:dyDescent="0.2"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6"/>
      <c r="W333" s="16"/>
      <c r="X333" s="16"/>
      <c r="Y333" s="16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</row>
    <row r="334" spans="2:45" ht="12.75" x14ac:dyDescent="0.2"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6"/>
      <c r="W334" s="16"/>
      <c r="X334" s="16"/>
      <c r="Y334" s="16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</row>
    <row r="335" spans="2:45" ht="12.75" x14ac:dyDescent="0.2"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6"/>
      <c r="W335" s="16"/>
      <c r="X335" s="16"/>
      <c r="Y335" s="16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</row>
    <row r="336" spans="2:45" ht="12.75" x14ac:dyDescent="0.2"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6"/>
      <c r="W336" s="16"/>
      <c r="X336" s="16"/>
      <c r="Y336" s="16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</row>
    <row r="337" spans="2:45" ht="12.75" x14ac:dyDescent="0.2"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6"/>
      <c r="W337" s="16"/>
      <c r="X337" s="16"/>
      <c r="Y337" s="16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</row>
    <row r="338" spans="2:45" ht="12.75" x14ac:dyDescent="0.2"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6"/>
      <c r="W338" s="16"/>
      <c r="X338" s="16"/>
      <c r="Y338" s="16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</row>
    <row r="339" spans="2:45" ht="12.75" x14ac:dyDescent="0.2"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6"/>
      <c r="W339" s="16"/>
      <c r="X339" s="16"/>
      <c r="Y339" s="16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</row>
    <row r="340" spans="2:45" ht="12.75" x14ac:dyDescent="0.2"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6"/>
      <c r="W340" s="16"/>
      <c r="X340" s="16"/>
      <c r="Y340" s="16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</row>
    <row r="341" spans="2:45" ht="12.75" x14ac:dyDescent="0.2"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6"/>
      <c r="W341" s="16"/>
      <c r="X341" s="16"/>
      <c r="Y341" s="16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</row>
    <row r="342" spans="2:45" ht="12.75" x14ac:dyDescent="0.2"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6"/>
      <c r="W342" s="16"/>
      <c r="X342" s="16"/>
      <c r="Y342" s="16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</row>
    <row r="343" spans="2:45" ht="12.75" x14ac:dyDescent="0.2"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6"/>
      <c r="W343" s="16"/>
      <c r="X343" s="16"/>
      <c r="Y343" s="16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</row>
    <row r="344" spans="2:45" ht="12.75" x14ac:dyDescent="0.2"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6"/>
      <c r="W344" s="16"/>
      <c r="X344" s="16"/>
      <c r="Y344" s="16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</row>
    <row r="345" spans="2:45" ht="12.75" x14ac:dyDescent="0.2"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6"/>
      <c r="W345" s="16"/>
      <c r="X345" s="16"/>
      <c r="Y345" s="16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</row>
    <row r="346" spans="2:45" ht="12.75" x14ac:dyDescent="0.2"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6"/>
      <c r="W346" s="16"/>
      <c r="X346" s="16"/>
      <c r="Y346" s="16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</row>
    <row r="347" spans="2:45" ht="12.75" x14ac:dyDescent="0.2"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6"/>
      <c r="W347" s="16"/>
      <c r="X347" s="16"/>
      <c r="Y347" s="16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</row>
    <row r="348" spans="2:45" ht="12.75" x14ac:dyDescent="0.2"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6"/>
      <c r="W348" s="16"/>
      <c r="X348" s="16"/>
      <c r="Y348" s="16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</row>
    <row r="349" spans="2:45" ht="12.75" x14ac:dyDescent="0.2"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6"/>
      <c r="W349" s="16"/>
      <c r="X349" s="16"/>
      <c r="Y349" s="16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</row>
    <row r="350" spans="2:45" ht="12.75" x14ac:dyDescent="0.2"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6"/>
      <c r="W350" s="16"/>
      <c r="X350" s="16"/>
      <c r="Y350" s="16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</row>
    <row r="351" spans="2:45" ht="12.75" x14ac:dyDescent="0.2"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6"/>
      <c r="W351" s="16"/>
      <c r="X351" s="16"/>
      <c r="Y351" s="16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</row>
    <row r="352" spans="2:45" ht="12.75" x14ac:dyDescent="0.2"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6"/>
      <c r="W352" s="16"/>
      <c r="X352" s="16"/>
      <c r="Y352" s="16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</row>
    <row r="353" spans="2:45" ht="12.75" x14ac:dyDescent="0.2"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6"/>
      <c r="W353" s="16"/>
      <c r="X353" s="16"/>
      <c r="Y353" s="16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</row>
    <row r="354" spans="2:45" ht="12.75" x14ac:dyDescent="0.2"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6"/>
      <c r="W354" s="16"/>
      <c r="X354" s="16"/>
      <c r="Y354" s="16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</row>
    <row r="355" spans="2:45" ht="12.75" x14ac:dyDescent="0.2"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6"/>
      <c r="W355" s="16"/>
      <c r="X355" s="16"/>
      <c r="Y355" s="16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</row>
    <row r="356" spans="2:45" ht="12.75" x14ac:dyDescent="0.2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6"/>
      <c r="W356" s="16"/>
      <c r="X356" s="16"/>
      <c r="Y356" s="16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</row>
    <row r="357" spans="2:45" ht="12.75" x14ac:dyDescent="0.2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6"/>
      <c r="W357" s="16"/>
      <c r="X357" s="16"/>
      <c r="Y357" s="16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</row>
    <row r="358" spans="2:45" ht="12.75" x14ac:dyDescent="0.2"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6"/>
      <c r="W358" s="16"/>
      <c r="X358" s="16"/>
      <c r="Y358" s="16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</row>
    <row r="359" spans="2:45" ht="12.75" x14ac:dyDescent="0.2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6"/>
      <c r="W359" s="16"/>
      <c r="X359" s="16"/>
      <c r="Y359" s="16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</row>
    <row r="360" spans="2:45" ht="12.75" x14ac:dyDescent="0.2"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6"/>
      <c r="W360" s="16"/>
      <c r="X360" s="16"/>
      <c r="Y360" s="16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</row>
    <row r="361" spans="2:45" ht="12.75" x14ac:dyDescent="0.2"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6"/>
      <c r="W361" s="16"/>
      <c r="X361" s="16"/>
      <c r="Y361" s="16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</row>
    <row r="362" spans="2:45" ht="12.75" x14ac:dyDescent="0.2"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6"/>
      <c r="W362" s="16"/>
      <c r="X362" s="16"/>
      <c r="Y362" s="16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</row>
    <row r="363" spans="2:45" ht="12.75" x14ac:dyDescent="0.2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6"/>
      <c r="W363" s="16"/>
      <c r="X363" s="16"/>
      <c r="Y363" s="16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</row>
    <row r="364" spans="2:45" ht="12.75" x14ac:dyDescent="0.2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6"/>
      <c r="W364" s="16"/>
      <c r="X364" s="16"/>
      <c r="Y364" s="16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</row>
    <row r="365" spans="2:45" ht="12.75" x14ac:dyDescent="0.2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6"/>
      <c r="W365" s="16"/>
      <c r="X365" s="16"/>
      <c r="Y365" s="16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</row>
    <row r="366" spans="2:45" ht="12.75" x14ac:dyDescent="0.2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6"/>
      <c r="W366" s="16"/>
      <c r="X366" s="16"/>
      <c r="Y366" s="16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</row>
    <row r="367" spans="2:45" ht="12.75" x14ac:dyDescent="0.2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6"/>
      <c r="W367" s="16"/>
      <c r="X367" s="16"/>
      <c r="Y367" s="16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</row>
    <row r="368" spans="2:45" ht="12.75" x14ac:dyDescent="0.2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6"/>
      <c r="W368" s="16"/>
      <c r="X368" s="16"/>
      <c r="Y368" s="16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</row>
    <row r="369" spans="2:45" ht="12.75" x14ac:dyDescent="0.2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6"/>
      <c r="W369" s="16"/>
      <c r="X369" s="16"/>
      <c r="Y369" s="16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</row>
    <row r="370" spans="2:45" ht="12.75" x14ac:dyDescent="0.2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6"/>
      <c r="W370" s="16"/>
      <c r="X370" s="16"/>
      <c r="Y370" s="16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</row>
    <row r="371" spans="2:45" ht="12.75" x14ac:dyDescent="0.2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6"/>
      <c r="W371" s="16"/>
      <c r="X371" s="16"/>
      <c r="Y371" s="16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</row>
    <row r="372" spans="2:45" ht="12.75" x14ac:dyDescent="0.2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6"/>
      <c r="W372" s="16"/>
      <c r="X372" s="16"/>
      <c r="Y372" s="16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</row>
    <row r="373" spans="2:45" ht="12.75" x14ac:dyDescent="0.2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6"/>
      <c r="W373" s="16"/>
      <c r="X373" s="16"/>
      <c r="Y373" s="16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</row>
    <row r="374" spans="2:45" ht="12.75" x14ac:dyDescent="0.2"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6"/>
      <c r="W374" s="16"/>
      <c r="X374" s="16"/>
      <c r="Y374" s="16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</row>
    <row r="375" spans="2:45" ht="12.75" x14ac:dyDescent="0.2"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6"/>
      <c r="W375" s="16"/>
      <c r="X375" s="16"/>
      <c r="Y375" s="16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</row>
    <row r="376" spans="2:45" ht="12.75" x14ac:dyDescent="0.2"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6"/>
      <c r="W376" s="16"/>
      <c r="X376" s="16"/>
      <c r="Y376" s="16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</row>
    <row r="377" spans="2:45" ht="12.75" x14ac:dyDescent="0.2"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6"/>
      <c r="W377" s="16"/>
      <c r="X377" s="16"/>
      <c r="Y377" s="16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</row>
    <row r="378" spans="2:45" ht="12.75" x14ac:dyDescent="0.2"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6"/>
      <c r="W378" s="16"/>
      <c r="X378" s="16"/>
      <c r="Y378" s="16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</row>
    <row r="379" spans="2:45" ht="12.75" x14ac:dyDescent="0.2"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6"/>
      <c r="W379" s="16"/>
      <c r="X379" s="16"/>
      <c r="Y379" s="16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</row>
    <row r="380" spans="2:45" ht="12.75" x14ac:dyDescent="0.2"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6"/>
      <c r="W380" s="16"/>
      <c r="X380" s="16"/>
      <c r="Y380" s="16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</row>
    <row r="381" spans="2:45" ht="12.75" x14ac:dyDescent="0.2"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6"/>
      <c r="W381" s="16"/>
      <c r="X381" s="16"/>
      <c r="Y381" s="16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</row>
    <row r="382" spans="2:45" ht="12.75" x14ac:dyDescent="0.2"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6"/>
      <c r="W382" s="16"/>
      <c r="X382" s="16"/>
      <c r="Y382" s="16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</row>
    <row r="383" spans="2:45" ht="12.75" x14ac:dyDescent="0.2"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6"/>
      <c r="W383" s="16"/>
      <c r="X383" s="16"/>
      <c r="Y383" s="16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</row>
    <row r="384" spans="2:45" ht="12.75" x14ac:dyDescent="0.2"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6"/>
      <c r="W384" s="16"/>
      <c r="X384" s="16"/>
      <c r="Y384" s="16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</row>
    <row r="385" spans="2:45" ht="12.75" x14ac:dyDescent="0.2"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6"/>
      <c r="W385" s="16"/>
      <c r="X385" s="16"/>
      <c r="Y385" s="16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</row>
    <row r="386" spans="2:45" ht="12.75" x14ac:dyDescent="0.2"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6"/>
      <c r="W386" s="16"/>
      <c r="X386" s="16"/>
      <c r="Y386" s="16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</row>
    <row r="387" spans="2:45" ht="12.75" x14ac:dyDescent="0.2"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6"/>
      <c r="W387" s="16"/>
      <c r="X387" s="16"/>
      <c r="Y387" s="16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</row>
    <row r="388" spans="2:45" ht="12.75" x14ac:dyDescent="0.2"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6"/>
      <c r="W388" s="16"/>
      <c r="X388" s="16"/>
      <c r="Y388" s="16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</row>
    <row r="389" spans="2:45" ht="12.75" x14ac:dyDescent="0.2"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6"/>
      <c r="W389" s="16"/>
      <c r="X389" s="16"/>
      <c r="Y389" s="16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</row>
    <row r="390" spans="2:45" ht="12.75" x14ac:dyDescent="0.2"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6"/>
      <c r="W390" s="16"/>
      <c r="X390" s="16"/>
      <c r="Y390" s="16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</row>
    <row r="391" spans="2:45" ht="12.75" x14ac:dyDescent="0.2"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6"/>
      <c r="W391" s="16"/>
      <c r="X391" s="16"/>
      <c r="Y391" s="16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</row>
    <row r="392" spans="2:45" ht="12.75" x14ac:dyDescent="0.2"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6"/>
      <c r="W392" s="16"/>
      <c r="X392" s="16"/>
      <c r="Y392" s="16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</row>
    <row r="393" spans="2:45" ht="12.75" x14ac:dyDescent="0.2"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6"/>
      <c r="W393" s="16"/>
      <c r="X393" s="16"/>
      <c r="Y393" s="16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</row>
    <row r="394" spans="2:45" ht="12.75" x14ac:dyDescent="0.2"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6"/>
      <c r="W394" s="16"/>
      <c r="X394" s="16"/>
      <c r="Y394" s="16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</row>
    <row r="395" spans="2:45" ht="12.75" x14ac:dyDescent="0.2"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6"/>
      <c r="W395" s="16"/>
      <c r="X395" s="16"/>
      <c r="Y395" s="16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</row>
    <row r="396" spans="2:45" ht="12.75" x14ac:dyDescent="0.2"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6"/>
      <c r="W396" s="16"/>
      <c r="X396" s="16"/>
      <c r="Y396" s="16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</row>
    <row r="397" spans="2:45" ht="12.75" x14ac:dyDescent="0.2"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6"/>
      <c r="W397" s="16"/>
      <c r="X397" s="16"/>
      <c r="Y397" s="16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</row>
    <row r="398" spans="2:45" ht="12.75" x14ac:dyDescent="0.2"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6"/>
      <c r="W398" s="16"/>
      <c r="X398" s="16"/>
      <c r="Y398" s="16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</row>
    <row r="399" spans="2:45" ht="12.75" x14ac:dyDescent="0.2"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6"/>
      <c r="W399" s="16"/>
      <c r="X399" s="16"/>
      <c r="Y399" s="16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</row>
    <row r="400" spans="2:45" ht="12.75" x14ac:dyDescent="0.2"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6"/>
      <c r="W400" s="16"/>
      <c r="X400" s="16"/>
      <c r="Y400" s="16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</row>
    <row r="401" spans="2:45" ht="12.75" x14ac:dyDescent="0.2"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6"/>
      <c r="W401" s="16"/>
      <c r="X401" s="16"/>
      <c r="Y401" s="16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</row>
    <row r="402" spans="2:45" ht="12.75" x14ac:dyDescent="0.2"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6"/>
      <c r="W402" s="16"/>
      <c r="X402" s="16"/>
      <c r="Y402" s="16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</row>
    <row r="403" spans="2:45" ht="12.75" x14ac:dyDescent="0.2"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6"/>
      <c r="W403" s="16"/>
      <c r="X403" s="16"/>
      <c r="Y403" s="16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</row>
    <row r="404" spans="2:45" ht="12.75" x14ac:dyDescent="0.2"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6"/>
      <c r="W404" s="16"/>
      <c r="X404" s="16"/>
      <c r="Y404" s="16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</row>
    <row r="405" spans="2:45" ht="12.75" x14ac:dyDescent="0.2"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6"/>
      <c r="W405" s="16"/>
      <c r="X405" s="16"/>
      <c r="Y405" s="16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</row>
    <row r="406" spans="2:45" ht="12.75" x14ac:dyDescent="0.2"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6"/>
      <c r="W406" s="16"/>
      <c r="X406" s="16"/>
      <c r="Y406" s="16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</row>
    <row r="407" spans="2:45" ht="12.75" x14ac:dyDescent="0.2"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6"/>
      <c r="W407" s="16"/>
      <c r="X407" s="16"/>
      <c r="Y407" s="16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</row>
    <row r="408" spans="2:45" ht="12.75" x14ac:dyDescent="0.2"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6"/>
      <c r="W408" s="16"/>
      <c r="X408" s="16"/>
      <c r="Y408" s="16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</row>
    <row r="409" spans="2:45" ht="12.75" x14ac:dyDescent="0.2"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6"/>
      <c r="W409" s="16"/>
      <c r="X409" s="16"/>
      <c r="Y409" s="16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</row>
    <row r="410" spans="2:45" ht="12.75" x14ac:dyDescent="0.2"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6"/>
      <c r="W410" s="16"/>
      <c r="X410" s="16"/>
      <c r="Y410" s="16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</row>
    <row r="411" spans="2:45" ht="12.75" x14ac:dyDescent="0.2"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6"/>
      <c r="W411" s="16"/>
      <c r="X411" s="16"/>
      <c r="Y411" s="16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</row>
    <row r="412" spans="2:45" ht="12.75" x14ac:dyDescent="0.2"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6"/>
      <c r="W412" s="16"/>
      <c r="X412" s="16"/>
      <c r="Y412" s="16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</row>
    <row r="413" spans="2:45" ht="12.75" x14ac:dyDescent="0.2"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6"/>
      <c r="W413" s="16"/>
      <c r="X413" s="16"/>
      <c r="Y413" s="16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</row>
    <row r="414" spans="2:45" ht="12.75" x14ac:dyDescent="0.2"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6"/>
      <c r="W414" s="16"/>
      <c r="X414" s="16"/>
      <c r="Y414" s="16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</row>
    <row r="415" spans="2:45" ht="12.75" x14ac:dyDescent="0.2"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6"/>
      <c r="W415" s="16"/>
      <c r="X415" s="16"/>
      <c r="Y415" s="16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</row>
    <row r="416" spans="2:45" ht="12.75" x14ac:dyDescent="0.2"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6"/>
      <c r="W416" s="16"/>
      <c r="X416" s="16"/>
      <c r="Y416" s="16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</row>
    <row r="417" spans="2:45" ht="12.75" x14ac:dyDescent="0.2"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6"/>
      <c r="W417" s="16"/>
      <c r="X417" s="16"/>
      <c r="Y417" s="16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</row>
    <row r="418" spans="2:45" ht="12.75" x14ac:dyDescent="0.2"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6"/>
      <c r="W418" s="16"/>
      <c r="X418" s="16"/>
      <c r="Y418" s="16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</row>
    <row r="419" spans="2:45" ht="12.75" x14ac:dyDescent="0.2"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6"/>
      <c r="W419" s="16"/>
      <c r="X419" s="16"/>
      <c r="Y419" s="16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</row>
    <row r="420" spans="2:45" ht="12.75" x14ac:dyDescent="0.2"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6"/>
      <c r="W420" s="16"/>
      <c r="X420" s="16"/>
      <c r="Y420" s="16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</row>
    <row r="421" spans="2:45" ht="12.75" x14ac:dyDescent="0.2"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6"/>
      <c r="W421" s="16"/>
      <c r="X421" s="16"/>
      <c r="Y421" s="16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</row>
    <row r="422" spans="2:45" ht="12.75" x14ac:dyDescent="0.2"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6"/>
      <c r="W422" s="16"/>
      <c r="X422" s="16"/>
      <c r="Y422" s="16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</row>
    <row r="423" spans="2:45" ht="12.75" x14ac:dyDescent="0.2"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6"/>
      <c r="W423" s="16"/>
      <c r="X423" s="16"/>
      <c r="Y423" s="16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</row>
    <row r="424" spans="2:45" ht="12.75" x14ac:dyDescent="0.2"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6"/>
      <c r="W424" s="16"/>
      <c r="X424" s="16"/>
      <c r="Y424" s="16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</row>
    <row r="425" spans="2:45" ht="12.75" x14ac:dyDescent="0.2"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6"/>
      <c r="W425" s="16"/>
      <c r="X425" s="16"/>
      <c r="Y425" s="16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</row>
    <row r="426" spans="2:45" ht="12.75" x14ac:dyDescent="0.2"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6"/>
      <c r="W426" s="16"/>
      <c r="X426" s="16"/>
      <c r="Y426" s="16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</row>
    <row r="427" spans="2:45" ht="12.75" x14ac:dyDescent="0.2"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6"/>
      <c r="W427" s="16"/>
      <c r="X427" s="16"/>
      <c r="Y427" s="16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</row>
    <row r="428" spans="2:45" ht="12.75" x14ac:dyDescent="0.2"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6"/>
      <c r="W428" s="16"/>
      <c r="X428" s="16"/>
      <c r="Y428" s="16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</row>
    <row r="429" spans="2:45" ht="12.75" x14ac:dyDescent="0.2"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6"/>
      <c r="W429" s="16"/>
      <c r="X429" s="16"/>
      <c r="Y429" s="16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</row>
    <row r="430" spans="2:45" ht="12.75" x14ac:dyDescent="0.2"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6"/>
      <c r="W430" s="16"/>
      <c r="X430" s="16"/>
      <c r="Y430" s="16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</row>
    <row r="431" spans="2:45" ht="12.75" x14ac:dyDescent="0.2"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6"/>
      <c r="W431" s="16"/>
      <c r="X431" s="16"/>
      <c r="Y431" s="16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</row>
    <row r="432" spans="2:45" ht="12.75" x14ac:dyDescent="0.2"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6"/>
      <c r="W432" s="16"/>
      <c r="X432" s="16"/>
      <c r="Y432" s="16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</row>
    <row r="433" spans="2:45" ht="12.75" x14ac:dyDescent="0.2"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6"/>
      <c r="W433" s="16"/>
      <c r="X433" s="16"/>
      <c r="Y433" s="16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</row>
    <row r="434" spans="2:45" ht="12.75" x14ac:dyDescent="0.2"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6"/>
      <c r="W434" s="16"/>
      <c r="X434" s="16"/>
      <c r="Y434" s="16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</row>
    <row r="435" spans="2:45" ht="12.75" x14ac:dyDescent="0.2"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6"/>
      <c r="W435" s="16"/>
      <c r="X435" s="16"/>
      <c r="Y435" s="16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</row>
    <row r="436" spans="2:45" ht="12.75" x14ac:dyDescent="0.2"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6"/>
      <c r="W436" s="16"/>
      <c r="X436" s="16"/>
      <c r="Y436" s="16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</row>
    <row r="437" spans="2:45" ht="12.75" x14ac:dyDescent="0.2"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6"/>
      <c r="W437" s="16"/>
      <c r="X437" s="16"/>
      <c r="Y437" s="16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</row>
    <row r="438" spans="2:45" ht="12.75" x14ac:dyDescent="0.2"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6"/>
      <c r="W438" s="16"/>
      <c r="X438" s="16"/>
      <c r="Y438" s="16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</row>
    <row r="439" spans="2:45" ht="12.75" x14ac:dyDescent="0.2"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6"/>
      <c r="W439" s="16"/>
      <c r="X439" s="16"/>
      <c r="Y439" s="16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</row>
    <row r="440" spans="2:45" ht="12.75" x14ac:dyDescent="0.2"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6"/>
      <c r="W440" s="16"/>
      <c r="X440" s="16"/>
      <c r="Y440" s="16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</row>
    <row r="441" spans="2:45" ht="12.75" x14ac:dyDescent="0.2"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6"/>
      <c r="W441" s="16"/>
      <c r="X441" s="16"/>
      <c r="Y441" s="16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</row>
    <row r="442" spans="2:45" ht="12.75" x14ac:dyDescent="0.2"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6"/>
      <c r="W442" s="16"/>
      <c r="X442" s="16"/>
      <c r="Y442" s="16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</row>
    <row r="443" spans="2:45" ht="12.75" x14ac:dyDescent="0.2"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6"/>
      <c r="W443" s="16"/>
      <c r="X443" s="16"/>
      <c r="Y443" s="16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</row>
    <row r="444" spans="2:45" ht="12.75" x14ac:dyDescent="0.2"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6"/>
      <c r="W444" s="16"/>
      <c r="X444" s="16"/>
      <c r="Y444" s="16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</row>
    <row r="445" spans="2:45" ht="12.75" x14ac:dyDescent="0.2"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6"/>
      <c r="W445" s="16"/>
      <c r="X445" s="16"/>
      <c r="Y445" s="16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</row>
    <row r="446" spans="2:45" ht="12.75" x14ac:dyDescent="0.2"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6"/>
      <c r="W446" s="16"/>
      <c r="X446" s="16"/>
      <c r="Y446" s="16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</row>
    <row r="447" spans="2:45" ht="12.75" x14ac:dyDescent="0.2"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6"/>
      <c r="W447" s="16"/>
      <c r="X447" s="16"/>
      <c r="Y447" s="16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</row>
    <row r="448" spans="2:45" ht="12.75" x14ac:dyDescent="0.2"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6"/>
      <c r="W448" s="16"/>
      <c r="X448" s="16"/>
      <c r="Y448" s="16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</row>
    <row r="449" spans="2:45" ht="12.75" x14ac:dyDescent="0.2"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6"/>
      <c r="W449" s="16"/>
      <c r="X449" s="16"/>
      <c r="Y449" s="16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</row>
    <row r="450" spans="2:45" ht="12.75" x14ac:dyDescent="0.2"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6"/>
      <c r="W450" s="16"/>
      <c r="X450" s="16"/>
      <c r="Y450" s="16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</row>
    <row r="451" spans="2:45" ht="12.75" x14ac:dyDescent="0.2"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6"/>
      <c r="W451" s="16"/>
      <c r="X451" s="16"/>
      <c r="Y451" s="16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</row>
    <row r="452" spans="2:45" ht="12.75" x14ac:dyDescent="0.2"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6"/>
      <c r="W452" s="16"/>
      <c r="X452" s="16"/>
      <c r="Y452" s="16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</row>
    <row r="453" spans="2:45" ht="12.75" x14ac:dyDescent="0.2"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6"/>
      <c r="W453" s="16"/>
      <c r="X453" s="16"/>
      <c r="Y453" s="16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</row>
    <row r="454" spans="2:45" ht="12.75" x14ac:dyDescent="0.2"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6"/>
      <c r="W454" s="16"/>
      <c r="X454" s="16"/>
      <c r="Y454" s="16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</row>
    <row r="455" spans="2:45" ht="12.75" x14ac:dyDescent="0.2"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6"/>
      <c r="W455" s="16"/>
      <c r="X455" s="16"/>
      <c r="Y455" s="16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</row>
    <row r="456" spans="2:45" ht="12.75" x14ac:dyDescent="0.2"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6"/>
      <c r="W456" s="16"/>
      <c r="X456" s="16"/>
      <c r="Y456" s="16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</row>
    <row r="457" spans="2:45" ht="12.75" x14ac:dyDescent="0.2"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6"/>
      <c r="W457" s="16"/>
      <c r="X457" s="16"/>
      <c r="Y457" s="16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</row>
    <row r="458" spans="2:45" ht="12.75" x14ac:dyDescent="0.2"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6"/>
      <c r="W458" s="16"/>
      <c r="X458" s="16"/>
      <c r="Y458" s="16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</row>
    <row r="459" spans="2:45" ht="12.75" x14ac:dyDescent="0.2"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6"/>
      <c r="W459" s="16"/>
      <c r="X459" s="16"/>
      <c r="Y459" s="16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</row>
    <row r="460" spans="2:45" ht="12.75" x14ac:dyDescent="0.2"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6"/>
      <c r="W460" s="16"/>
      <c r="X460" s="16"/>
      <c r="Y460" s="16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</row>
    <row r="461" spans="2:45" ht="12.75" x14ac:dyDescent="0.2"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6"/>
      <c r="W461" s="16"/>
      <c r="X461" s="16"/>
      <c r="Y461" s="16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</row>
    <row r="462" spans="2:45" ht="12.75" x14ac:dyDescent="0.2"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6"/>
      <c r="W462" s="16"/>
      <c r="X462" s="16"/>
      <c r="Y462" s="16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</row>
    <row r="463" spans="2:45" ht="12.75" x14ac:dyDescent="0.2"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6"/>
      <c r="W463" s="16"/>
      <c r="X463" s="16"/>
      <c r="Y463" s="16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</row>
    <row r="464" spans="2:45" ht="12.75" x14ac:dyDescent="0.2"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6"/>
      <c r="W464" s="16"/>
      <c r="X464" s="16"/>
      <c r="Y464" s="16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</row>
    <row r="465" spans="2:45" ht="12.75" x14ac:dyDescent="0.2"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6"/>
      <c r="W465" s="16"/>
      <c r="X465" s="16"/>
      <c r="Y465" s="16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</row>
    <row r="466" spans="2:45" ht="12.75" x14ac:dyDescent="0.2"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6"/>
      <c r="W466" s="16"/>
      <c r="X466" s="16"/>
      <c r="Y466" s="16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</row>
    <row r="467" spans="2:45" ht="12.75" x14ac:dyDescent="0.2"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6"/>
      <c r="W467" s="16"/>
      <c r="X467" s="16"/>
      <c r="Y467" s="16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</row>
    <row r="468" spans="2:45" ht="12.75" x14ac:dyDescent="0.2"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6"/>
      <c r="W468" s="16"/>
      <c r="X468" s="16"/>
      <c r="Y468" s="16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</row>
    <row r="469" spans="2:45" ht="12.75" x14ac:dyDescent="0.2"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6"/>
      <c r="W469" s="16"/>
      <c r="X469" s="16"/>
      <c r="Y469" s="16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</row>
    <row r="470" spans="2:45" ht="12.75" x14ac:dyDescent="0.2"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6"/>
      <c r="W470" s="16"/>
      <c r="X470" s="16"/>
      <c r="Y470" s="16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</row>
    <row r="471" spans="2:45" ht="12.75" x14ac:dyDescent="0.2"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6"/>
      <c r="W471" s="16"/>
      <c r="X471" s="16"/>
      <c r="Y471" s="16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</row>
    <row r="472" spans="2:45" ht="12.75" x14ac:dyDescent="0.2"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6"/>
      <c r="W472" s="16"/>
      <c r="X472" s="16"/>
      <c r="Y472" s="16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</row>
    <row r="473" spans="2:45" ht="12.75" x14ac:dyDescent="0.2"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6"/>
      <c r="W473" s="16"/>
      <c r="X473" s="16"/>
      <c r="Y473" s="16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</row>
    <row r="474" spans="2:45" ht="12.75" x14ac:dyDescent="0.2"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6"/>
      <c r="W474" s="16"/>
      <c r="X474" s="16"/>
      <c r="Y474" s="16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</row>
    <row r="475" spans="2:45" ht="12.75" x14ac:dyDescent="0.2"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6"/>
      <c r="W475" s="16"/>
      <c r="X475" s="16"/>
      <c r="Y475" s="16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</row>
    <row r="476" spans="2:45" ht="12.75" x14ac:dyDescent="0.2"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6"/>
      <c r="W476" s="16"/>
      <c r="X476" s="16"/>
      <c r="Y476" s="16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</row>
    <row r="477" spans="2:45" ht="12.75" x14ac:dyDescent="0.2"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6"/>
      <c r="W477" s="16"/>
      <c r="X477" s="16"/>
      <c r="Y477" s="16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</row>
    <row r="478" spans="2:45" ht="12.75" x14ac:dyDescent="0.2"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6"/>
      <c r="W478" s="16"/>
      <c r="X478" s="16"/>
      <c r="Y478" s="16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</row>
    <row r="479" spans="2:45" ht="12.75" x14ac:dyDescent="0.2"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6"/>
      <c r="W479" s="16"/>
      <c r="X479" s="16"/>
      <c r="Y479" s="16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</row>
    <row r="480" spans="2:45" ht="12.75" x14ac:dyDescent="0.2"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6"/>
      <c r="W480" s="16"/>
      <c r="X480" s="16"/>
      <c r="Y480" s="16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</row>
    <row r="481" spans="2:45" ht="12.75" x14ac:dyDescent="0.2"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6"/>
      <c r="W481" s="16"/>
      <c r="X481" s="16"/>
      <c r="Y481" s="16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</row>
    <row r="482" spans="2:45" ht="12.75" x14ac:dyDescent="0.2"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6"/>
      <c r="W482" s="16"/>
      <c r="X482" s="16"/>
      <c r="Y482" s="16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</row>
    <row r="483" spans="2:45" ht="12.75" x14ac:dyDescent="0.2"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6"/>
      <c r="W483" s="16"/>
      <c r="X483" s="16"/>
      <c r="Y483" s="16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</row>
    <row r="484" spans="2:45" ht="12.75" x14ac:dyDescent="0.2"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6"/>
      <c r="W484" s="16"/>
      <c r="X484" s="16"/>
      <c r="Y484" s="16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</row>
    <row r="485" spans="2:45" ht="12.75" x14ac:dyDescent="0.2"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6"/>
      <c r="W485" s="16"/>
      <c r="X485" s="16"/>
      <c r="Y485" s="16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</row>
    <row r="486" spans="2:45" ht="12.75" x14ac:dyDescent="0.2"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6"/>
      <c r="W486" s="16"/>
      <c r="X486" s="16"/>
      <c r="Y486" s="16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</row>
    <row r="487" spans="2:45" ht="12.75" x14ac:dyDescent="0.2"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6"/>
      <c r="W487" s="16"/>
      <c r="X487" s="16"/>
      <c r="Y487" s="16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</row>
    <row r="488" spans="2:45" ht="12.75" x14ac:dyDescent="0.2"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6"/>
      <c r="W488" s="16"/>
      <c r="X488" s="16"/>
      <c r="Y488" s="16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</row>
    <row r="489" spans="2:45" ht="12.75" x14ac:dyDescent="0.2"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6"/>
      <c r="W489" s="16"/>
      <c r="X489" s="16"/>
      <c r="Y489" s="16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</row>
    <row r="490" spans="2:45" ht="12.75" x14ac:dyDescent="0.2"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6"/>
      <c r="W490" s="16"/>
      <c r="X490" s="16"/>
      <c r="Y490" s="16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</row>
    <row r="491" spans="2:45" ht="12.75" x14ac:dyDescent="0.2"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6"/>
      <c r="W491" s="16"/>
      <c r="X491" s="16"/>
      <c r="Y491" s="16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</row>
    <row r="492" spans="2:45" ht="12.75" x14ac:dyDescent="0.2"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6"/>
      <c r="W492" s="16"/>
      <c r="X492" s="16"/>
      <c r="Y492" s="16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</row>
    <row r="493" spans="2:45" ht="12.75" x14ac:dyDescent="0.2"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6"/>
      <c r="W493" s="16"/>
      <c r="X493" s="16"/>
      <c r="Y493" s="16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</row>
    <row r="494" spans="2:45" ht="12.75" x14ac:dyDescent="0.2"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6"/>
      <c r="W494" s="16"/>
      <c r="X494" s="16"/>
      <c r="Y494" s="16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</row>
    <row r="495" spans="2:45" ht="12.75" x14ac:dyDescent="0.2"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6"/>
      <c r="W495" s="16"/>
      <c r="X495" s="16"/>
      <c r="Y495" s="16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</row>
    <row r="496" spans="2:45" ht="12.75" x14ac:dyDescent="0.2"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6"/>
      <c r="W496" s="16"/>
      <c r="X496" s="16"/>
      <c r="Y496" s="16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</row>
    <row r="497" spans="2:45" ht="12.75" x14ac:dyDescent="0.2"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6"/>
      <c r="W497" s="16"/>
      <c r="X497" s="16"/>
      <c r="Y497" s="16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</row>
    <row r="498" spans="2:45" ht="12.75" x14ac:dyDescent="0.2"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6"/>
      <c r="W498" s="16"/>
      <c r="X498" s="16"/>
      <c r="Y498" s="16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</row>
    <row r="499" spans="2:45" ht="12.75" x14ac:dyDescent="0.2"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6"/>
      <c r="W499" s="16"/>
      <c r="X499" s="16"/>
      <c r="Y499" s="16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</row>
    <row r="500" spans="2:45" ht="12.75" x14ac:dyDescent="0.2"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6"/>
      <c r="W500" s="16"/>
      <c r="X500" s="16"/>
      <c r="Y500" s="16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</row>
    <row r="501" spans="2:45" ht="12.75" x14ac:dyDescent="0.2"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6"/>
      <c r="W501" s="16"/>
      <c r="X501" s="16"/>
      <c r="Y501" s="16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</row>
    <row r="502" spans="2:45" ht="12.75" x14ac:dyDescent="0.2"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6"/>
      <c r="W502" s="16"/>
      <c r="X502" s="16"/>
      <c r="Y502" s="16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</row>
    <row r="503" spans="2:45" ht="12.75" x14ac:dyDescent="0.2"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6"/>
      <c r="W503" s="16"/>
      <c r="X503" s="16"/>
      <c r="Y503" s="16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</row>
    <row r="504" spans="2:45" ht="12.75" x14ac:dyDescent="0.2"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6"/>
      <c r="W504" s="16"/>
      <c r="X504" s="16"/>
      <c r="Y504" s="16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</row>
    <row r="505" spans="2:45" ht="12.75" x14ac:dyDescent="0.2"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6"/>
      <c r="W505" s="16"/>
      <c r="X505" s="16"/>
      <c r="Y505" s="16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</row>
    <row r="506" spans="2:45" ht="12.75" x14ac:dyDescent="0.2"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6"/>
      <c r="W506" s="16"/>
      <c r="X506" s="16"/>
      <c r="Y506" s="16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</row>
    <row r="507" spans="2:45" ht="12.75" x14ac:dyDescent="0.2"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6"/>
      <c r="W507" s="16"/>
      <c r="X507" s="16"/>
      <c r="Y507" s="16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</row>
    <row r="508" spans="2:45" ht="12.75" x14ac:dyDescent="0.2"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6"/>
      <c r="W508" s="16"/>
      <c r="X508" s="16"/>
      <c r="Y508" s="16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</row>
    <row r="509" spans="2:45" ht="12.75" x14ac:dyDescent="0.2"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6"/>
      <c r="W509" s="16"/>
      <c r="X509" s="16"/>
      <c r="Y509" s="16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</row>
    <row r="510" spans="2:45" ht="12.75" x14ac:dyDescent="0.2"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6"/>
      <c r="W510" s="16"/>
      <c r="X510" s="16"/>
      <c r="Y510" s="16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</row>
    <row r="511" spans="2:45" ht="12.75" x14ac:dyDescent="0.2"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6"/>
      <c r="W511" s="16"/>
      <c r="X511" s="16"/>
      <c r="Y511" s="16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</row>
    <row r="512" spans="2:45" ht="12.75" x14ac:dyDescent="0.2"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6"/>
      <c r="W512" s="16"/>
      <c r="X512" s="16"/>
      <c r="Y512" s="16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</row>
    <row r="513" spans="2:45" ht="12.75" x14ac:dyDescent="0.2"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6"/>
      <c r="W513" s="16"/>
      <c r="X513" s="16"/>
      <c r="Y513" s="16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</row>
    <row r="514" spans="2:45" ht="12.75" x14ac:dyDescent="0.2"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6"/>
      <c r="W514" s="16"/>
      <c r="X514" s="16"/>
      <c r="Y514" s="16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</row>
    <row r="515" spans="2:45" ht="12.75" x14ac:dyDescent="0.2"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6"/>
      <c r="W515" s="16"/>
      <c r="X515" s="16"/>
      <c r="Y515" s="16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</row>
    <row r="516" spans="2:45" ht="12.75" x14ac:dyDescent="0.2"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6"/>
      <c r="W516" s="16"/>
      <c r="X516" s="16"/>
      <c r="Y516" s="16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</row>
    <row r="517" spans="2:45" ht="12.75" x14ac:dyDescent="0.2"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6"/>
      <c r="W517" s="16"/>
      <c r="X517" s="16"/>
      <c r="Y517" s="16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</row>
    <row r="518" spans="2:45" ht="12.75" x14ac:dyDescent="0.2"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6"/>
      <c r="W518" s="16"/>
      <c r="X518" s="16"/>
      <c r="Y518" s="16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</row>
    <row r="519" spans="2:45" ht="12.75" x14ac:dyDescent="0.2"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6"/>
      <c r="W519" s="16"/>
      <c r="X519" s="16"/>
      <c r="Y519" s="16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</row>
    <row r="520" spans="2:45" ht="12.75" x14ac:dyDescent="0.2"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6"/>
      <c r="W520" s="16"/>
      <c r="X520" s="16"/>
      <c r="Y520" s="16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</row>
    <row r="521" spans="2:45" ht="12.75" x14ac:dyDescent="0.2"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6"/>
      <c r="W521" s="16"/>
      <c r="X521" s="16"/>
      <c r="Y521" s="16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</row>
    <row r="522" spans="2:45" ht="12.75" x14ac:dyDescent="0.2"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6"/>
      <c r="W522" s="16"/>
      <c r="X522" s="16"/>
      <c r="Y522" s="16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</row>
    <row r="523" spans="2:45" ht="12.75" x14ac:dyDescent="0.2"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6"/>
      <c r="W523" s="16"/>
      <c r="X523" s="16"/>
      <c r="Y523" s="16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</row>
    <row r="524" spans="2:45" ht="12.75" x14ac:dyDescent="0.2"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6"/>
      <c r="W524" s="16"/>
      <c r="X524" s="16"/>
      <c r="Y524" s="16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</row>
    <row r="525" spans="2:45" ht="12.75" x14ac:dyDescent="0.2"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6"/>
      <c r="W525" s="16"/>
      <c r="X525" s="16"/>
      <c r="Y525" s="16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</row>
    <row r="526" spans="2:45" ht="12.75" x14ac:dyDescent="0.2"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6"/>
      <c r="W526" s="16"/>
      <c r="X526" s="16"/>
      <c r="Y526" s="16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</row>
    <row r="527" spans="2:45" ht="12.75" x14ac:dyDescent="0.2"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6"/>
      <c r="W527" s="16"/>
      <c r="X527" s="16"/>
      <c r="Y527" s="16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</row>
    <row r="528" spans="2:45" ht="12.75" x14ac:dyDescent="0.2"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6"/>
      <c r="W528" s="16"/>
      <c r="X528" s="16"/>
      <c r="Y528" s="16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</row>
    <row r="529" spans="2:45" ht="12.75" x14ac:dyDescent="0.2"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6"/>
      <c r="W529" s="16"/>
      <c r="X529" s="16"/>
      <c r="Y529" s="16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</row>
    <row r="530" spans="2:45" ht="12.75" x14ac:dyDescent="0.2"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6"/>
      <c r="W530" s="16"/>
      <c r="X530" s="16"/>
      <c r="Y530" s="16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</row>
    <row r="531" spans="2:45" ht="12.75" x14ac:dyDescent="0.2"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6"/>
      <c r="W531" s="16"/>
      <c r="X531" s="16"/>
      <c r="Y531" s="16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</row>
    <row r="532" spans="2:45" ht="12.75" x14ac:dyDescent="0.2"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6"/>
      <c r="W532" s="16"/>
      <c r="X532" s="16"/>
      <c r="Y532" s="16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</row>
    <row r="533" spans="2:45" ht="12.75" x14ac:dyDescent="0.2"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6"/>
      <c r="W533" s="16"/>
      <c r="X533" s="16"/>
      <c r="Y533" s="16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</row>
    <row r="534" spans="2:45" ht="12.75" x14ac:dyDescent="0.2"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6"/>
      <c r="W534" s="16"/>
      <c r="X534" s="16"/>
      <c r="Y534" s="16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</row>
    <row r="535" spans="2:45" ht="12.75" x14ac:dyDescent="0.2"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6"/>
      <c r="W535" s="16"/>
      <c r="X535" s="16"/>
      <c r="Y535" s="16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</row>
    <row r="536" spans="2:45" ht="12.75" x14ac:dyDescent="0.2"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6"/>
      <c r="W536" s="16"/>
      <c r="X536" s="16"/>
      <c r="Y536" s="16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</row>
    <row r="537" spans="2:45" ht="12.75" x14ac:dyDescent="0.2"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6"/>
      <c r="W537" s="16"/>
      <c r="X537" s="16"/>
      <c r="Y537" s="16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</row>
    <row r="538" spans="2:45" ht="12.75" x14ac:dyDescent="0.2"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6"/>
      <c r="W538" s="16"/>
      <c r="X538" s="16"/>
      <c r="Y538" s="16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</row>
    <row r="539" spans="2:45" ht="12.75" x14ac:dyDescent="0.2"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6"/>
      <c r="W539" s="16"/>
      <c r="X539" s="16"/>
      <c r="Y539" s="16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</row>
    <row r="540" spans="2:45" ht="12.75" x14ac:dyDescent="0.2"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6"/>
      <c r="W540" s="16"/>
      <c r="X540" s="16"/>
      <c r="Y540" s="16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</row>
    <row r="541" spans="2:45" ht="12.75" x14ac:dyDescent="0.2"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6"/>
      <c r="W541" s="16"/>
      <c r="X541" s="16"/>
      <c r="Y541" s="16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</row>
    <row r="542" spans="2:45" ht="12.75" x14ac:dyDescent="0.2"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6"/>
      <c r="W542" s="16"/>
      <c r="X542" s="16"/>
      <c r="Y542" s="16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</row>
    <row r="543" spans="2:45" ht="12.75" x14ac:dyDescent="0.2"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6"/>
      <c r="W543" s="16"/>
      <c r="X543" s="16"/>
      <c r="Y543" s="16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</row>
    <row r="544" spans="2:45" ht="12.75" x14ac:dyDescent="0.2"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6"/>
      <c r="W544" s="16"/>
      <c r="X544" s="16"/>
      <c r="Y544" s="16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</row>
    <row r="545" spans="2:45" ht="12.75" x14ac:dyDescent="0.2"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6"/>
      <c r="W545" s="16"/>
      <c r="X545" s="16"/>
      <c r="Y545" s="16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</row>
    <row r="546" spans="2:45" ht="12.75" x14ac:dyDescent="0.2"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6"/>
      <c r="W546" s="16"/>
      <c r="X546" s="16"/>
      <c r="Y546" s="16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</row>
    <row r="547" spans="2:45" ht="12.75" x14ac:dyDescent="0.2"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6"/>
      <c r="W547" s="16"/>
      <c r="X547" s="16"/>
      <c r="Y547" s="16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</row>
    <row r="548" spans="2:45" ht="12.75" x14ac:dyDescent="0.2"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6"/>
      <c r="W548" s="16"/>
      <c r="X548" s="16"/>
      <c r="Y548" s="16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</row>
    <row r="549" spans="2:45" ht="12.75" x14ac:dyDescent="0.2"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6"/>
      <c r="W549" s="16"/>
      <c r="X549" s="16"/>
      <c r="Y549" s="16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</row>
    <row r="550" spans="2:45" ht="12.75" x14ac:dyDescent="0.2"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6"/>
      <c r="W550" s="16"/>
      <c r="X550" s="16"/>
      <c r="Y550" s="16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</row>
    <row r="551" spans="2:45" ht="12.75" x14ac:dyDescent="0.2"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6"/>
      <c r="W551" s="16"/>
      <c r="X551" s="16"/>
      <c r="Y551" s="16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</row>
    <row r="552" spans="2:45" ht="12.75" x14ac:dyDescent="0.2"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6"/>
      <c r="W552" s="16"/>
      <c r="X552" s="16"/>
      <c r="Y552" s="16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</row>
    <row r="553" spans="2:45" ht="12.75" x14ac:dyDescent="0.2"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6"/>
      <c r="W553" s="16"/>
      <c r="X553" s="16"/>
      <c r="Y553" s="16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</row>
    <row r="554" spans="2:45" ht="12.75" x14ac:dyDescent="0.2"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6"/>
      <c r="W554" s="16"/>
      <c r="X554" s="16"/>
      <c r="Y554" s="16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</row>
    <row r="555" spans="2:45" ht="12.75" x14ac:dyDescent="0.2"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6"/>
      <c r="W555" s="16"/>
      <c r="X555" s="16"/>
      <c r="Y555" s="16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</row>
    <row r="556" spans="2:45" ht="12.75" x14ac:dyDescent="0.2"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6"/>
      <c r="W556" s="16"/>
      <c r="X556" s="16"/>
      <c r="Y556" s="16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</row>
    <row r="557" spans="2:45" ht="12.75" x14ac:dyDescent="0.2"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6"/>
      <c r="W557" s="16"/>
      <c r="X557" s="16"/>
      <c r="Y557" s="16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</row>
    <row r="558" spans="2:45" ht="12.75" x14ac:dyDescent="0.2"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6"/>
      <c r="W558" s="16"/>
      <c r="X558" s="16"/>
      <c r="Y558" s="16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</row>
    <row r="559" spans="2:45" ht="12.75" x14ac:dyDescent="0.2"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6"/>
      <c r="W559" s="16"/>
      <c r="X559" s="16"/>
      <c r="Y559" s="16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</row>
    <row r="560" spans="2:45" ht="12.75" x14ac:dyDescent="0.2"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6"/>
      <c r="W560" s="16"/>
      <c r="X560" s="16"/>
      <c r="Y560" s="16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</row>
    <row r="561" spans="2:45" ht="12.75" x14ac:dyDescent="0.2"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6"/>
      <c r="W561" s="16"/>
      <c r="X561" s="16"/>
      <c r="Y561" s="16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</row>
    <row r="562" spans="2:45" ht="12.75" x14ac:dyDescent="0.2"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6"/>
      <c r="W562" s="16"/>
      <c r="X562" s="16"/>
      <c r="Y562" s="16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</row>
    <row r="563" spans="2:45" ht="12.75" x14ac:dyDescent="0.2"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6"/>
      <c r="W563" s="16"/>
      <c r="X563" s="16"/>
      <c r="Y563" s="16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</row>
    <row r="564" spans="2:45" ht="12.75" x14ac:dyDescent="0.2"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6"/>
      <c r="W564" s="16"/>
      <c r="X564" s="16"/>
      <c r="Y564" s="16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</row>
    <row r="565" spans="2:45" ht="12.75" x14ac:dyDescent="0.2"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6"/>
      <c r="W565" s="16"/>
      <c r="X565" s="16"/>
      <c r="Y565" s="16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</row>
    <row r="566" spans="2:45" ht="12.75" x14ac:dyDescent="0.2"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6"/>
      <c r="W566" s="16"/>
      <c r="X566" s="16"/>
      <c r="Y566" s="16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</row>
    <row r="567" spans="2:45" ht="12.75" x14ac:dyDescent="0.2"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6"/>
      <c r="W567" s="16"/>
      <c r="X567" s="16"/>
      <c r="Y567" s="16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</row>
    <row r="568" spans="2:45" ht="12.75" x14ac:dyDescent="0.2"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6"/>
      <c r="W568" s="16"/>
      <c r="X568" s="16"/>
      <c r="Y568" s="16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</row>
    <row r="569" spans="2:45" ht="12.75" x14ac:dyDescent="0.2"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6"/>
      <c r="W569" s="16"/>
      <c r="X569" s="16"/>
      <c r="Y569" s="16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</row>
    <row r="570" spans="2:45" ht="12.75" x14ac:dyDescent="0.2"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6"/>
      <c r="W570" s="16"/>
      <c r="X570" s="16"/>
      <c r="Y570" s="16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</row>
    <row r="571" spans="2:45" ht="12.75" x14ac:dyDescent="0.2"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6"/>
      <c r="W571" s="16"/>
      <c r="X571" s="16"/>
      <c r="Y571" s="16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</row>
    <row r="572" spans="2:45" ht="12.75" x14ac:dyDescent="0.2"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6"/>
      <c r="W572" s="16"/>
      <c r="X572" s="16"/>
      <c r="Y572" s="16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</row>
    <row r="573" spans="2:45" ht="12.75" x14ac:dyDescent="0.2"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6"/>
      <c r="W573" s="16"/>
      <c r="X573" s="16"/>
      <c r="Y573" s="16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</row>
    <row r="574" spans="2:45" ht="12.75" x14ac:dyDescent="0.2"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6"/>
      <c r="W574" s="16"/>
      <c r="X574" s="16"/>
      <c r="Y574" s="16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</row>
    <row r="575" spans="2:45" ht="12.75" x14ac:dyDescent="0.2"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6"/>
      <c r="W575" s="16"/>
      <c r="X575" s="16"/>
      <c r="Y575" s="16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</row>
    <row r="576" spans="2:45" ht="12.75" x14ac:dyDescent="0.2"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6"/>
      <c r="W576" s="16"/>
      <c r="X576" s="16"/>
      <c r="Y576" s="16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</row>
    <row r="577" spans="2:45" ht="12.75" x14ac:dyDescent="0.2"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6"/>
      <c r="W577" s="16"/>
      <c r="X577" s="16"/>
      <c r="Y577" s="16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</row>
    <row r="578" spans="2:45" ht="12.75" x14ac:dyDescent="0.2"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6"/>
      <c r="W578" s="16"/>
      <c r="X578" s="16"/>
      <c r="Y578" s="16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</row>
    <row r="579" spans="2:45" ht="12.75" x14ac:dyDescent="0.2"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6"/>
      <c r="W579" s="16"/>
      <c r="X579" s="16"/>
      <c r="Y579" s="16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</row>
    <row r="580" spans="2:45" ht="12.75" x14ac:dyDescent="0.2"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6"/>
      <c r="W580" s="16"/>
      <c r="X580" s="16"/>
      <c r="Y580" s="16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</row>
    <row r="581" spans="2:45" ht="12.75" x14ac:dyDescent="0.2"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6"/>
      <c r="W581" s="16"/>
      <c r="X581" s="16"/>
      <c r="Y581" s="16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</row>
    <row r="582" spans="2:45" ht="12.75" x14ac:dyDescent="0.2"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6"/>
      <c r="W582" s="16"/>
      <c r="X582" s="16"/>
      <c r="Y582" s="16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</row>
    <row r="583" spans="2:45" ht="12.75" x14ac:dyDescent="0.2"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6"/>
      <c r="W583" s="16"/>
      <c r="X583" s="16"/>
      <c r="Y583" s="16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</row>
    <row r="584" spans="2:45" ht="12.75" x14ac:dyDescent="0.2"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6"/>
      <c r="W584" s="16"/>
      <c r="X584" s="16"/>
      <c r="Y584" s="16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</row>
    <row r="585" spans="2:45" ht="12.75" x14ac:dyDescent="0.2"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6"/>
      <c r="W585" s="16"/>
      <c r="X585" s="16"/>
      <c r="Y585" s="16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</row>
    <row r="586" spans="2:45" ht="12.75" x14ac:dyDescent="0.2"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6"/>
      <c r="W586" s="16"/>
      <c r="X586" s="16"/>
      <c r="Y586" s="16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</row>
    <row r="587" spans="2:45" ht="12.75" x14ac:dyDescent="0.2"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6"/>
      <c r="W587" s="16"/>
      <c r="X587" s="16"/>
      <c r="Y587" s="16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</row>
    <row r="588" spans="2:45" ht="12.75" x14ac:dyDescent="0.2"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6"/>
      <c r="W588" s="16"/>
      <c r="X588" s="16"/>
      <c r="Y588" s="16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</row>
    <row r="589" spans="2:45" ht="12.75" x14ac:dyDescent="0.2"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6"/>
      <c r="W589" s="16"/>
      <c r="X589" s="16"/>
      <c r="Y589" s="16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</row>
    <row r="590" spans="2:45" ht="12.75" x14ac:dyDescent="0.2"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6"/>
      <c r="W590" s="16"/>
      <c r="X590" s="16"/>
      <c r="Y590" s="16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</row>
    <row r="591" spans="2:45" ht="12.75" x14ac:dyDescent="0.2"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6"/>
      <c r="W591" s="16"/>
      <c r="X591" s="16"/>
      <c r="Y591" s="16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</row>
    <row r="592" spans="2:45" ht="12.75" x14ac:dyDescent="0.2"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6"/>
      <c r="W592" s="16"/>
      <c r="X592" s="16"/>
      <c r="Y592" s="16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</row>
    <row r="593" spans="2:45" ht="12.75" x14ac:dyDescent="0.2"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6"/>
      <c r="W593" s="16"/>
      <c r="X593" s="16"/>
      <c r="Y593" s="16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</row>
    <row r="594" spans="2:45" ht="12.75" x14ac:dyDescent="0.2"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6"/>
      <c r="W594" s="16"/>
      <c r="X594" s="16"/>
      <c r="Y594" s="16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</row>
    <row r="595" spans="2:45" ht="12.75" x14ac:dyDescent="0.2"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6"/>
      <c r="W595" s="16"/>
      <c r="X595" s="16"/>
      <c r="Y595" s="16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</row>
    <row r="596" spans="2:45" ht="12.75" x14ac:dyDescent="0.2"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6"/>
      <c r="W596" s="16"/>
      <c r="X596" s="16"/>
      <c r="Y596" s="16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</row>
    <row r="597" spans="2:45" ht="12.75" x14ac:dyDescent="0.2"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6"/>
      <c r="W597" s="16"/>
      <c r="X597" s="16"/>
      <c r="Y597" s="16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</row>
    <row r="598" spans="2:45" ht="12.75" x14ac:dyDescent="0.2"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6"/>
      <c r="W598" s="16"/>
      <c r="X598" s="16"/>
      <c r="Y598" s="16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</row>
    <row r="599" spans="2:45" ht="12.75" x14ac:dyDescent="0.2"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6"/>
      <c r="W599" s="16"/>
      <c r="X599" s="16"/>
      <c r="Y599" s="16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</row>
    <row r="600" spans="2:45" ht="12.75" x14ac:dyDescent="0.2"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6"/>
      <c r="W600" s="16"/>
      <c r="X600" s="16"/>
      <c r="Y600" s="16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</row>
    <row r="601" spans="2:45" ht="12.75" x14ac:dyDescent="0.2"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6"/>
      <c r="W601" s="16"/>
      <c r="X601" s="16"/>
      <c r="Y601" s="16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</row>
    <row r="602" spans="2:45" ht="12.75" x14ac:dyDescent="0.2"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6"/>
      <c r="W602" s="16"/>
      <c r="X602" s="16"/>
      <c r="Y602" s="16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</row>
    <row r="603" spans="2:45" ht="12.75" x14ac:dyDescent="0.2"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6"/>
      <c r="W603" s="16"/>
      <c r="X603" s="16"/>
      <c r="Y603" s="16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</row>
    <row r="604" spans="2:45" ht="12.75" x14ac:dyDescent="0.2"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6"/>
      <c r="W604" s="16"/>
      <c r="X604" s="16"/>
      <c r="Y604" s="16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</row>
    <row r="605" spans="2:45" ht="12.75" x14ac:dyDescent="0.2"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6"/>
      <c r="W605" s="16"/>
      <c r="X605" s="16"/>
      <c r="Y605" s="16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</row>
    <row r="606" spans="2:45" ht="12.75" x14ac:dyDescent="0.2"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6"/>
      <c r="W606" s="16"/>
      <c r="X606" s="16"/>
      <c r="Y606" s="16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</row>
    <row r="607" spans="2:45" ht="12.75" x14ac:dyDescent="0.2"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6"/>
      <c r="W607" s="16"/>
      <c r="X607" s="16"/>
      <c r="Y607" s="16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</row>
    <row r="608" spans="2:45" ht="12.75" x14ac:dyDescent="0.2"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6"/>
      <c r="W608" s="16"/>
      <c r="X608" s="16"/>
      <c r="Y608" s="16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</row>
    <row r="609" spans="2:45" ht="12.75" x14ac:dyDescent="0.2"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6"/>
      <c r="W609" s="16"/>
      <c r="X609" s="16"/>
      <c r="Y609" s="16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</row>
    <row r="610" spans="2:45" ht="12.75" x14ac:dyDescent="0.2"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6"/>
      <c r="W610" s="16"/>
      <c r="X610" s="16"/>
      <c r="Y610" s="16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</row>
    <row r="611" spans="2:45" ht="12.75" x14ac:dyDescent="0.2"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6"/>
      <c r="W611" s="16"/>
      <c r="X611" s="16"/>
      <c r="Y611" s="16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</row>
    <row r="612" spans="2:45" ht="12.75" x14ac:dyDescent="0.2"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6"/>
      <c r="W612" s="16"/>
      <c r="X612" s="16"/>
      <c r="Y612" s="16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</row>
    <row r="613" spans="2:45" ht="12.75" x14ac:dyDescent="0.2"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6"/>
      <c r="W613" s="16"/>
      <c r="X613" s="16"/>
      <c r="Y613" s="16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</row>
    <row r="614" spans="2:45" ht="12.75" x14ac:dyDescent="0.2"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6"/>
      <c r="W614" s="16"/>
      <c r="X614" s="16"/>
      <c r="Y614" s="16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</row>
    <row r="615" spans="2:45" ht="12.75" x14ac:dyDescent="0.2"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6"/>
      <c r="W615" s="16"/>
      <c r="X615" s="16"/>
      <c r="Y615" s="16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</row>
    <row r="616" spans="2:45" ht="12.75" x14ac:dyDescent="0.2"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6"/>
      <c r="W616" s="16"/>
      <c r="X616" s="16"/>
      <c r="Y616" s="16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</row>
    <row r="617" spans="2:45" ht="12.75" x14ac:dyDescent="0.2"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6"/>
      <c r="W617" s="16"/>
      <c r="X617" s="16"/>
      <c r="Y617" s="16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</row>
    <row r="618" spans="2:45" ht="12.75" x14ac:dyDescent="0.2"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6"/>
      <c r="W618" s="16"/>
      <c r="X618" s="16"/>
      <c r="Y618" s="16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</row>
    <row r="619" spans="2:45" ht="12.75" x14ac:dyDescent="0.2"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6"/>
      <c r="W619" s="16"/>
      <c r="X619" s="16"/>
      <c r="Y619" s="16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</row>
    <row r="620" spans="2:45" ht="12.75" x14ac:dyDescent="0.2"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6"/>
      <c r="W620" s="16"/>
      <c r="X620" s="16"/>
      <c r="Y620" s="16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</row>
    <row r="621" spans="2:45" ht="12.75" x14ac:dyDescent="0.2"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6"/>
      <c r="W621" s="16"/>
      <c r="X621" s="16"/>
      <c r="Y621" s="16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</row>
    <row r="622" spans="2:45" ht="12.75" x14ac:dyDescent="0.2"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6"/>
      <c r="W622" s="16"/>
      <c r="X622" s="16"/>
      <c r="Y622" s="16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</row>
    <row r="623" spans="2:45" ht="12.75" x14ac:dyDescent="0.2"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6"/>
      <c r="W623" s="16"/>
      <c r="X623" s="16"/>
      <c r="Y623" s="16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</row>
    <row r="624" spans="2:45" ht="12.75" x14ac:dyDescent="0.2"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6"/>
      <c r="W624" s="16"/>
      <c r="X624" s="16"/>
      <c r="Y624" s="16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</row>
    <row r="625" spans="2:45" ht="12.75" x14ac:dyDescent="0.2"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6"/>
      <c r="W625" s="16"/>
      <c r="X625" s="16"/>
      <c r="Y625" s="16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</row>
    <row r="626" spans="2:45" ht="12.75" x14ac:dyDescent="0.2"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6"/>
      <c r="W626" s="16"/>
      <c r="X626" s="16"/>
      <c r="Y626" s="16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</row>
    <row r="627" spans="2:45" ht="12.75" x14ac:dyDescent="0.2"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6"/>
      <c r="W627" s="16"/>
      <c r="X627" s="16"/>
      <c r="Y627" s="16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</row>
    <row r="628" spans="2:45" ht="12.75" x14ac:dyDescent="0.2"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6"/>
      <c r="W628" s="16"/>
      <c r="X628" s="16"/>
      <c r="Y628" s="16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</row>
    <row r="629" spans="2:45" ht="12.75" x14ac:dyDescent="0.2"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6"/>
      <c r="W629" s="16"/>
      <c r="X629" s="16"/>
      <c r="Y629" s="16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</row>
    <row r="630" spans="2:45" ht="12.75" x14ac:dyDescent="0.2"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6"/>
      <c r="W630" s="16"/>
      <c r="X630" s="16"/>
      <c r="Y630" s="16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</row>
    <row r="631" spans="2:45" ht="12.75" x14ac:dyDescent="0.2"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6"/>
      <c r="W631" s="16"/>
      <c r="X631" s="16"/>
      <c r="Y631" s="16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</row>
    <row r="632" spans="2:45" ht="12.75" x14ac:dyDescent="0.2"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6"/>
      <c r="W632" s="16"/>
      <c r="X632" s="16"/>
      <c r="Y632" s="16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</row>
    <row r="633" spans="2:45" ht="12.75" x14ac:dyDescent="0.2"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6"/>
      <c r="W633" s="16"/>
      <c r="X633" s="16"/>
      <c r="Y633" s="16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</row>
    <row r="634" spans="2:45" ht="12.75" x14ac:dyDescent="0.2"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6"/>
      <c r="W634" s="16"/>
      <c r="X634" s="16"/>
      <c r="Y634" s="16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</row>
    <row r="635" spans="2:45" ht="12.75" x14ac:dyDescent="0.2"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6"/>
      <c r="W635" s="16"/>
      <c r="X635" s="16"/>
      <c r="Y635" s="16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</row>
    <row r="636" spans="2:45" ht="12.75" x14ac:dyDescent="0.2"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6"/>
      <c r="W636" s="16"/>
      <c r="X636" s="16"/>
      <c r="Y636" s="16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</row>
    <row r="637" spans="2:45" ht="12.75" x14ac:dyDescent="0.2"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6"/>
      <c r="W637" s="16"/>
      <c r="X637" s="16"/>
      <c r="Y637" s="16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</row>
    <row r="638" spans="2:45" ht="12.75" x14ac:dyDescent="0.2"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6"/>
      <c r="W638" s="16"/>
      <c r="X638" s="16"/>
      <c r="Y638" s="16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</row>
    <row r="639" spans="2:45" ht="12.75" x14ac:dyDescent="0.2"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6"/>
      <c r="W639" s="16"/>
      <c r="X639" s="16"/>
      <c r="Y639" s="16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</row>
    <row r="640" spans="2:45" ht="12.75" x14ac:dyDescent="0.2"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6"/>
      <c r="W640" s="16"/>
      <c r="X640" s="16"/>
      <c r="Y640" s="16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</row>
    <row r="641" spans="2:45" ht="12.75" x14ac:dyDescent="0.2"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6"/>
      <c r="W641" s="16"/>
      <c r="X641" s="16"/>
      <c r="Y641" s="16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</row>
    <row r="642" spans="2:45" ht="12.75" x14ac:dyDescent="0.2"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6"/>
      <c r="W642" s="16"/>
      <c r="X642" s="16"/>
      <c r="Y642" s="16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</row>
    <row r="643" spans="2:45" ht="12.75" x14ac:dyDescent="0.2"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6"/>
      <c r="W643" s="16"/>
      <c r="X643" s="16"/>
      <c r="Y643" s="16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</row>
    <row r="644" spans="2:45" ht="12.75" x14ac:dyDescent="0.2"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6"/>
      <c r="W644" s="16"/>
      <c r="X644" s="16"/>
      <c r="Y644" s="16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</row>
    <row r="645" spans="2:45" ht="12.75" x14ac:dyDescent="0.2"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6"/>
      <c r="W645" s="16"/>
      <c r="X645" s="16"/>
      <c r="Y645" s="16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</row>
    <row r="646" spans="2:45" ht="12.75" x14ac:dyDescent="0.2"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6"/>
      <c r="W646" s="16"/>
      <c r="X646" s="16"/>
      <c r="Y646" s="16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</row>
    <row r="647" spans="2:45" ht="12.75" x14ac:dyDescent="0.2"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6"/>
      <c r="W647" s="16"/>
      <c r="X647" s="16"/>
      <c r="Y647" s="16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</row>
    <row r="648" spans="2:45" ht="12.75" x14ac:dyDescent="0.2"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6"/>
      <c r="W648" s="16"/>
      <c r="X648" s="16"/>
      <c r="Y648" s="16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</row>
    <row r="649" spans="2:45" ht="12.75" x14ac:dyDescent="0.2"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6"/>
      <c r="W649" s="16"/>
      <c r="X649" s="16"/>
      <c r="Y649" s="16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</row>
    <row r="650" spans="2:45" ht="12.75" x14ac:dyDescent="0.2"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6"/>
      <c r="W650" s="16"/>
      <c r="X650" s="16"/>
      <c r="Y650" s="16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</row>
    <row r="651" spans="2:45" ht="12.75" x14ac:dyDescent="0.2"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6"/>
      <c r="W651" s="16"/>
      <c r="X651" s="16"/>
      <c r="Y651" s="16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</row>
    <row r="652" spans="2:45" ht="12.75" x14ac:dyDescent="0.2"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6"/>
      <c r="W652" s="16"/>
      <c r="X652" s="16"/>
      <c r="Y652" s="16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</row>
    <row r="653" spans="2:45" ht="12.75" x14ac:dyDescent="0.2"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6"/>
      <c r="W653" s="16"/>
      <c r="X653" s="16"/>
      <c r="Y653" s="16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</row>
    <row r="654" spans="2:45" ht="12.75" x14ac:dyDescent="0.2"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6"/>
      <c r="W654" s="16"/>
      <c r="X654" s="16"/>
      <c r="Y654" s="16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</row>
    <row r="655" spans="2:45" ht="12.75" x14ac:dyDescent="0.2"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6"/>
      <c r="W655" s="16"/>
      <c r="X655" s="16"/>
      <c r="Y655" s="16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</row>
    <row r="656" spans="2:45" ht="12.75" x14ac:dyDescent="0.2"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6"/>
      <c r="W656" s="16"/>
      <c r="X656" s="16"/>
      <c r="Y656" s="16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</row>
    <row r="657" spans="2:45" ht="12.75" x14ac:dyDescent="0.2"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6"/>
      <c r="W657" s="16"/>
      <c r="X657" s="16"/>
      <c r="Y657" s="16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</row>
    <row r="658" spans="2:45" ht="12.75" x14ac:dyDescent="0.2"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6"/>
      <c r="W658" s="16"/>
      <c r="X658" s="16"/>
      <c r="Y658" s="16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</row>
    <row r="659" spans="2:45" ht="12.75" x14ac:dyDescent="0.2"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6"/>
      <c r="W659" s="16"/>
      <c r="X659" s="16"/>
      <c r="Y659" s="16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</row>
    <row r="660" spans="2:45" ht="12.75" x14ac:dyDescent="0.2"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6"/>
      <c r="W660" s="16"/>
      <c r="X660" s="16"/>
      <c r="Y660" s="16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</row>
    <row r="661" spans="2:45" ht="12.75" x14ac:dyDescent="0.2"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6"/>
      <c r="W661" s="16"/>
      <c r="X661" s="16"/>
      <c r="Y661" s="16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</row>
    <row r="662" spans="2:45" ht="12.75" x14ac:dyDescent="0.2"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6"/>
      <c r="W662" s="16"/>
      <c r="X662" s="16"/>
      <c r="Y662" s="16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</row>
    <row r="663" spans="2:45" ht="12.75" x14ac:dyDescent="0.2"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6"/>
      <c r="W663" s="16"/>
      <c r="X663" s="16"/>
      <c r="Y663" s="16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</row>
    <row r="664" spans="2:45" ht="12.75" x14ac:dyDescent="0.2"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6"/>
      <c r="W664" s="16"/>
      <c r="X664" s="16"/>
      <c r="Y664" s="16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</row>
    <row r="665" spans="2:45" ht="12.75" x14ac:dyDescent="0.2"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6"/>
      <c r="W665" s="16"/>
      <c r="X665" s="16"/>
      <c r="Y665" s="16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</row>
    <row r="666" spans="2:45" ht="12.75" x14ac:dyDescent="0.2"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6"/>
      <c r="W666" s="16"/>
      <c r="X666" s="16"/>
      <c r="Y666" s="16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</row>
    <row r="667" spans="2:45" ht="12.75" x14ac:dyDescent="0.2"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6"/>
      <c r="W667" s="16"/>
      <c r="X667" s="16"/>
      <c r="Y667" s="16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</row>
    <row r="668" spans="2:45" ht="12.75" x14ac:dyDescent="0.2"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6"/>
      <c r="W668" s="16"/>
      <c r="X668" s="16"/>
      <c r="Y668" s="16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</row>
    <row r="669" spans="2:45" ht="12.75" x14ac:dyDescent="0.2"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6"/>
      <c r="W669" s="16"/>
      <c r="X669" s="16"/>
      <c r="Y669" s="16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</row>
    <row r="670" spans="2:45" ht="12.75" x14ac:dyDescent="0.2"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6"/>
      <c r="W670" s="16"/>
      <c r="X670" s="16"/>
      <c r="Y670" s="16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</row>
    <row r="671" spans="2:45" ht="12.75" x14ac:dyDescent="0.2"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6"/>
      <c r="W671" s="16"/>
      <c r="X671" s="16"/>
      <c r="Y671" s="16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</row>
    <row r="672" spans="2:45" ht="12.75" x14ac:dyDescent="0.2"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6"/>
      <c r="W672" s="16"/>
      <c r="X672" s="16"/>
      <c r="Y672" s="16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</row>
    <row r="673" spans="2:45" ht="12.75" x14ac:dyDescent="0.2"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6"/>
      <c r="W673" s="16"/>
      <c r="X673" s="16"/>
      <c r="Y673" s="16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</row>
    <row r="674" spans="2:45" ht="12.75" x14ac:dyDescent="0.2"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6"/>
      <c r="W674" s="16"/>
      <c r="X674" s="16"/>
      <c r="Y674" s="16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</row>
    <row r="675" spans="2:45" ht="12.75" x14ac:dyDescent="0.2"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6"/>
      <c r="W675" s="16"/>
      <c r="X675" s="16"/>
      <c r="Y675" s="16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</row>
    <row r="676" spans="2:45" ht="12.75" x14ac:dyDescent="0.2"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6"/>
      <c r="W676" s="16"/>
      <c r="X676" s="16"/>
      <c r="Y676" s="16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</row>
    <row r="677" spans="2:45" ht="12.75" x14ac:dyDescent="0.2"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6"/>
      <c r="W677" s="16"/>
      <c r="X677" s="16"/>
      <c r="Y677" s="16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</row>
    <row r="678" spans="2:45" ht="12.75" x14ac:dyDescent="0.2"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6"/>
      <c r="W678" s="16"/>
      <c r="X678" s="16"/>
      <c r="Y678" s="16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</row>
    <row r="679" spans="2:45" ht="12.75" x14ac:dyDescent="0.2"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6"/>
      <c r="W679" s="16"/>
      <c r="X679" s="16"/>
      <c r="Y679" s="16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</row>
    <row r="680" spans="2:45" ht="12.75" x14ac:dyDescent="0.2"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6"/>
      <c r="W680" s="16"/>
      <c r="X680" s="16"/>
      <c r="Y680" s="16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</row>
    <row r="681" spans="2:45" ht="12.75" x14ac:dyDescent="0.2"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6"/>
      <c r="W681" s="16"/>
      <c r="X681" s="16"/>
      <c r="Y681" s="16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</row>
    <row r="682" spans="2:45" ht="12.75" x14ac:dyDescent="0.2"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6"/>
      <c r="W682" s="16"/>
      <c r="X682" s="16"/>
      <c r="Y682" s="16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</row>
    <row r="683" spans="2:45" ht="12.75" x14ac:dyDescent="0.2"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6"/>
      <c r="W683" s="16"/>
      <c r="X683" s="16"/>
      <c r="Y683" s="16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</row>
    <row r="684" spans="2:45" ht="12.75" x14ac:dyDescent="0.2"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6"/>
      <c r="W684" s="16"/>
      <c r="X684" s="16"/>
      <c r="Y684" s="16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</row>
    <row r="685" spans="2:45" ht="12.75" x14ac:dyDescent="0.2"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6"/>
      <c r="W685" s="16"/>
      <c r="X685" s="16"/>
      <c r="Y685" s="16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</row>
    <row r="686" spans="2:45" ht="12.75" x14ac:dyDescent="0.2"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6"/>
      <c r="W686" s="16"/>
      <c r="X686" s="16"/>
      <c r="Y686" s="16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</row>
    <row r="687" spans="2:45" ht="12.75" x14ac:dyDescent="0.2"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6"/>
      <c r="W687" s="16"/>
      <c r="X687" s="16"/>
      <c r="Y687" s="16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</row>
    <row r="688" spans="2:45" ht="12.75" x14ac:dyDescent="0.2"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6"/>
      <c r="W688" s="16"/>
      <c r="X688" s="16"/>
      <c r="Y688" s="16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</row>
    <row r="689" spans="2:45" ht="12.75" x14ac:dyDescent="0.2"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6"/>
      <c r="W689" s="16"/>
      <c r="X689" s="16"/>
      <c r="Y689" s="16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</row>
    <row r="690" spans="2:45" ht="12.75" x14ac:dyDescent="0.2"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6"/>
      <c r="W690" s="16"/>
      <c r="X690" s="16"/>
      <c r="Y690" s="16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</row>
    <row r="691" spans="2:45" ht="12.75" x14ac:dyDescent="0.2"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6"/>
      <c r="W691" s="16"/>
      <c r="X691" s="16"/>
      <c r="Y691" s="16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</row>
    <row r="692" spans="2:45" ht="12.75" x14ac:dyDescent="0.2"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6"/>
      <c r="W692" s="16"/>
      <c r="X692" s="16"/>
      <c r="Y692" s="16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</row>
    <row r="693" spans="2:45" ht="12.75" x14ac:dyDescent="0.2"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6"/>
      <c r="W693" s="16"/>
      <c r="X693" s="16"/>
      <c r="Y693" s="16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</row>
    <row r="694" spans="2:45" ht="12.75" x14ac:dyDescent="0.2"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6"/>
      <c r="W694" s="16"/>
      <c r="X694" s="16"/>
      <c r="Y694" s="16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</row>
    <row r="695" spans="2:45" ht="12.75" x14ac:dyDescent="0.2"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6"/>
      <c r="W695" s="16"/>
      <c r="X695" s="16"/>
      <c r="Y695" s="16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</row>
    <row r="696" spans="2:45" ht="12.75" x14ac:dyDescent="0.2"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6"/>
      <c r="W696" s="16"/>
      <c r="X696" s="16"/>
      <c r="Y696" s="16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</row>
    <row r="697" spans="2:45" ht="12.75" x14ac:dyDescent="0.2"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6"/>
      <c r="W697" s="16"/>
      <c r="X697" s="16"/>
      <c r="Y697" s="16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</row>
    <row r="698" spans="2:45" ht="12.75" x14ac:dyDescent="0.2"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6"/>
      <c r="W698" s="16"/>
      <c r="X698" s="16"/>
      <c r="Y698" s="16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</row>
    <row r="699" spans="2:45" ht="12.75" x14ac:dyDescent="0.2"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6"/>
      <c r="W699" s="16"/>
      <c r="X699" s="16"/>
      <c r="Y699" s="16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</row>
    <row r="700" spans="2:45" ht="12.75" x14ac:dyDescent="0.2"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6"/>
      <c r="W700" s="16"/>
      <c r="X700" s="16"/>
      <c r="Y700" s="16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</row>
    <row r="701" spans="2:45" ht="12.75" x14ac:dyDescent="0.2"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6"/>
      <c r="W701" s="16"/>
      <c r="X701" s="16"/>
      <c r="Y701" s="16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</row>
    <row r="702" spans="2:45" ht="12.75" x14ac:dyDescent="0.2"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6"/>
      <c r="W702" s="16"/>
      <c r="X702" s="16"/>
      <c r="Y702" s="16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</row>
    <row r="703" spans="2:45" ht="12.75" x14ac:dyDescent="0.2"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6"/>
      <c r="W703" s="16"/>
      <c r="X703" s="16"/>
      <c r="Y703" s="16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</row>
    <row r="704" spans="2:45" ht="12.75" x14ac:dyDescent="0.2"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6"/>
      <c r="W704" s="16"/>
      <c r="X704" s="16"/>
      <c r="Y704" s="16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</row>
    <row r="705" spans="2:45" ht="12.75" x14ac:dyDescent="0.2"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6"/>
      <c r="W705" s="16"/>
      <c r="X705" s="16"/>
      <c r="Y705" s="16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</row>
    <row r="706" spans="2:45" ht="12.75" x14ac:dyDescent="0.2"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6"/>
      <c r="W706" s="16"/>
      <c r="X706" s="16"/>
      <c r="Y706" s="16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</row>
    <row r="707" spans="2:45" ht="12.75" x14ac:dyDescent="0.2"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6"/>
      <c r="W707" s="16"/>
      <c r="X707" s="16"/>
      <c r="Y707" s="16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</row>
    <row r="708" spans="2:45" ht="12.75" x14ac:dyDescent="0.2"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6"/>
      <c r="W708" s="16"/>
      <c r="X708" s="16"/>
      <c r="Y708" s="16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</row>
    <row r="709" spans="2:45" ht="12.75" x14ac:dyDescent="0.2"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6"/>
      <c r="W709" s="16"/>
      <c r="X709" s="16"/>
      <c r="Y709" s="16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</row>
    <row r="710" spans="2:45" ht="12.75" x14ac:dyDescent="0.2"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6"/>
      <c r="W710" s="16"/>
      <c r="X710" s="16"/>
      <c r="Y710" s="16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</row>
    <row r="711" spans="2:45" ht="12.75" x14ac:dyDescent="0.2"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6"/>
      <c r="W711" s="16"/>
      <c r="X711" s="16"/>
      <c r="Y711" s="16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</row>
    <row r="712" spans="2:45" ht="12.75" x14ac:dyDescent="0.2"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6"/>
      <c r="W712" s="16"/>
      <c r="X712" s="16"/>
      <c r="Y712" s="16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</row>
    <row r="713" spans="2:45" ht="12.75" x14ac:dyDescent="0.2"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6"/>
      <c r="W713" s="16"/>
      <c r="X713" s="16"/>
      <c r="Y713" s="16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</row>
    <row r="714" spans="2:45" ht="12.75" x14ac:dyDescent="0.2"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6"/>
      <c r="W714" s="16"/>
      <c r="X714" s="16"/>
      <c r="Y714" s="16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</row>
    <row r="715" spans="2:45" ht="12.75" x14ac:dyDescent="0.2"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6"/>
      <c r="W715" s="16"/>
      <c r="X715" s="16"/>
      <c r="Y715" s="16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</row>
    <row r="716" spans="2:45" ht="12.75" x14ac:dyDescent="0.2"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6"/>
      <c r="W716" s="16"/>
      <c r="X716" s="16"/>
      <c r="Y716" s="16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</row>
    <row r="717" spans="2:45" ht="12.75" x14ac:dyDescent="0.2"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6"/>
      <c r="W717" s="16"/>
      <c r="X717" s="16"/>
      <c r="Y717" s="16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</row>
    <row r="718" spans="2:45" ht="12.75" x14ac:dyDescent="0.2"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6"/>
      <c r="W718" s="16"/>
      <c r="X718" s="16"/>
      <c r="Y718" s="16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</row>
    <row r="719" spans="2:45" ht="12.75" x14ac:dyDescent="0.2"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6"/>
      <c r="W719" s="16"/>
      <c r="X719" s="16"/>
      <c r="Y719" s="16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</row>
    <row r="720" spans="2:45" ht="12.75" x14ac:dyDescent="0.2"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6"/>
      <c r="W720" s="16"/>
      <c r="X720" s="16"/>
      <c r="Y720" s="16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</row>
    <row r="721" spans="2:45" ht="12.75" x14ac:dyDescent="0.2"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6"/>
      <c r="W721" s="16"/>
      <c r="X721" s="16"/>
      <c r="Y721" s="16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</row>
    <row r="722" spans="2:45" ht="12.75" x14ac:dyDescent="0.2"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6"/>
      <c r="W722" s="16"/>
      <c r="X722" s="16"/>
      <c r="Y722" s="16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</row>
    <row r="723" spans="2:45" ht="12.75" x14ac:dyDescent="0.2"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6"/>
      <c r="W723" s="16"/>
      <c r="X723" s="16"/>
      <c r="Y723" s="16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</row>
    <row r="724" spans="2:45" ht="12.75" x14ac:dyDescent="0.2"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6"/>
      <c r="W724" s="16"/>
      <c r="X724" s="16"/>
      <c r="Y724" s="16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</row>
    <row r="725" spans="2:45" ht="12.75" x14ac:dyDescent="0.2"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6"/>
      <c r="W725" s="16"/>
      <c r="X725" s="16"/>
      <c r="Y725" s="16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</row>
    <row r="726" spans="2:45" ht="12.75" x14ac:dyDescent="0.2"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6"/>
      <c r="W726" s="16"/>
      <c r="X726" s="16"/>
      <c r="Y726" s="16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</row>
    <row r="727" spans="2:45" ht="12.75" x14ac:dyDescent="0.2"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6"/>
      <c r="W727" s="16"/>
      <c r="X727" s="16"/>
      <c r="Y727" s="16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</row>
    <row r="728" spans="2:45" ht="12.75" x14ac:dyDescent="0.2"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6"/>
      <c r="W728" s="16"/>
      <c r="X728" s="16"/>
      <c r="Y728" s="16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</row>
    <row r="729" spans="2:45" ht="12.75" x14ac:dyDescent="0.2"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6"/>
      <c r="W729" s="16"/>
      <c r="X729" s="16"/>
      <c r="Y729" s="16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</row>
    <row r="730" spans="2:45" ht="12.75" x14ac:dyDescent="0.2"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6"/>
      <c r="W730" s="16"/>
      <c r="X730" s="16"/>
      <c r="Y730" s="16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</row>
    <row r="731" spans="2:45" ht="12.75" x14ac:dyDescent="0.2"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6"/>
      <c r="W731" s="16"/>
      <c r="X731" s="16"/>
      <c r="Y731" s="16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</row>
    <row r="732" spans="2:45" ht="12.75" x14ac:dyDescent="0.2"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6"/>
      <c r="W732" s="16"/>
      <c r="X732" s="16"/>
      <c r="Y732" s="16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</row>
    <row r="733" spans="2:45" ht="12.75" x14ac:dyDescent="0.2"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6"/>
      <c r="W733" s="16"/>
      <c r="X733" s="16"/>
      <c r="Y733" s="16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</row>
    <row r="734" spans="2:45" ht="12.75" x14ac:dyDescent="0.2"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6"/>
      <c r="W734" s="16"/>
      <c r="X734" s="16"/>
      <c r="Y734" s="16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</row>
    <row r="735" spans="2:45" ht="12.75" x14ac:dyDescent="0.2"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6"/>
      <c r="W735" s="16"/>
      <c r="X735" s="16"/>
      <c r="Y735" s="16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</row>
    <row r="736" spans="2:45" ht="12.75" x14ac:dyDescent="0.2"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6"/>
      <c r="W736" s="16"/>
      <c r="X736" s="16"/>
      <c r="Y736" s="16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</row>
    <row r="737" spans="2:45" ht="12.75" x14ac:dyDescent="0.2"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6"/>
      <c r="W737" s="16"/>
      <c r="X737" s="16"/>
      <c r="Y737" s="16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</row>
    <row r="738" spans="2:45" ht="12.75" x14ac:dyDescent="0.2"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6"/>
      <c r="W738" s="16"/>
      <c r="X738" s="16"/>
      <c r="Y738" s="16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</row>
    <row r="739" spans="2:45" ht="12.75" x14ac:dyDescent="0.2"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6"/>
      <c r="W739" s="16"/>
      <c r="X739" s="16"/>
      <c r="Y739" s="16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</row>
    <row r="740" spans="2:45" ht="12.75" x14ac:dyDescent="0.2"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6"/>
      <c r="W740" s="16"/>
      <c r="X740" s="16"/>
      <c r="Y740" s="16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</row>
    <row r="741" spans="2:45" ht="12.75" x14ac:dyDescent="0.2"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6"/>
      <c r="W741" s="16"/>
      <c r="X741" s="16"/>
      <c r="Y741" s="16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</row>
    <row r="742" spans="2:45" ht="12.75" x14ac:dyDescent="0.2"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6"/>
      <c r="W742" s="16"/>
      <c r="X742" s="16"/>
      <c r="Y742" s="16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</row>
    <row r="743" spans="2:45" ht="12.75" x14ac:dyDescent="0.2"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6"/>
      <c r="W743" s="16"/>
      <c r="X743" s="16"/>
      <c r="Y743" s="16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</row>
    <row r="744" spans="2:45" ht="12.75" x14ac:dyDescent="0.2"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6"/>
      <c r="W744" s="16"/>
      <c r="X744" s="16"/>
      <c r="Y744" s="16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</row>
    <row r="745" spans="2:45" ht="12.75" x14ac:dyDescent="0.2"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6"/>
      <c r="W745" s="16"/>
      <c r="X745" s="16"/>
      <c r="Y745" s="16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</row>
    <row r="746" spans="2:45" ht="12.75" x14ac:dyDescent="0.2"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6"/>
      <c r="W746" s="16"/>
      <c r="X746" s="16"/>
      <c r="Y746" s="16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</row>
    <row r="747" spans="2:45" ht="12.75" x14ac:dyDescent="0.2"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6"/>
      <c r="W747" s="16"/>
      <c r="X747" s="16"/>
      <c r="Y747" s="16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</row>
    <row r="748" spans="2:45" ht="12.75" x14ac:dyDescent="0.2"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6"/>
      <c r="W748" s="16"/>
      <c r="X748" s="16"/>
      <c r="Y748" s="16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</row>
    <row r="749" spans="2:45" ht="12.75" x14ac:dyDescent="0.2"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6"/>
      <c r="W749" s="16"/>
      <c r="X749" s="16"/>
      <c r="Y749" s="16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</row>
    <row r="750" spans="2:45" ht="12.75" x14ac:dyDescent="0.2"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6"/>
      <c r="W750" s="16"/>
      <c r="X750" s="16"/>
      <c r="Y750" s="16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</row>
    <row r="751" spans="2:45" ht="12.75" x14ac:dyDescent="0.2"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6"/>
      <c r="W751" s="16"/>
      <c r="X751" s="16"/>
      <c r="Y751" s="16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</row>
    <row r="752" spans="2:45" ht="12.75" x14ac:dyDescent="0.2"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6"/>
      <c r="W752" s="16"/>
      <c r="X752" s="16"/>
      <c r="Y752" s="16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</row>
    <row r="753" spans="2:45" ht="12.75" x14ac:dyDescent="0.2"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6"/>
      <c r="W753" s="16"/>
      <c r="X753" s="16"/>
      <c r="Y753" s="16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</row>
    <row r="754" spans="2:45" ht="12.75" x14ac:dyDescent="0.2"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6"/>
      <c r="W754" s="16"/>
      <c r="X754" s="16"/>
      <c r="Y754" s="16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</row>
    <row r="755" spans="2:45" ht="12.75" x14ac:dyDescent="0.2"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6"/>
      <c r="W755" s="16"/>
      <c r="X755" s="16"/>
      <c r="Y755" s="16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</row>
    <row r="756" spans="2:45" ht="12.75" x14ac:dyDescent="0.2"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6"/>
      <c r="W756" s="16"/>
      <c r="X756" s="16"/>
      <c r="Y756" s="16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</row>
    <row r="757" spans="2:45" ht="12.75" x14ac:dyDescent="0.2"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6"/>
      <c r="W757" s="16"/>
      <c r="X757" s="16"/>
      <c r="Y757" s="16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</row>
    <row r="758" spans="2:45" ht="12.75" x14ac:dyDescent="0.2"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6"/>
      <c r="W758" s="16"/>
      <c r="X758" s="16"/>
      <c r="Y758" s="16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</row>
    <row r="759" spans="2:45" ht="12.75" x14ac:dyDescent="0.2"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6"/>
      <c r="W759" s="16"/>
      <c r="X759" s="16"/>
      <c r="Y759" s="16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</row>
    <row r="760" spans="2:45" ht="12.75" x14ac:dyDescent="0.2"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6"/>
      <c r="W760" s="16"/>
      <c r="X760" s="16"/>
      <c r="Y760" s="16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</row>
    <row r="761" spans="2:45" ht="12.75" x14ac:dyDescent="0.2"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6"/>
      <c r="W761" s="16"/>
      <c r="X761" s="16"/>
      <c r="Y761" s="16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</row>
    <row r="762" spans="2:45" ht="12.75" x14ac:dyDescent="0.2"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6"/>
      <c r="W762" s="16"/>
      <c r="X762" s="16"/>
      <c r="Y762" s="16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</row>
    <row r="763" spans="2:45" ht="12.75" x14ac:dyDescent="0.2"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6"/>
      <c r="W763" s="16"/>
      <c r="X763" s="16"/>
      <c r="Y763" s="16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</row>
    <row r="764" spans="2:45" ht="12.75" x14ac:dyDescent="0.2"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6"/>
      <c r="W764" s="16"/>
      <c r="X764" s="16"/>
      <c r="Y764" s="16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</row>
    <row r="765" spans="2:45" ht="12.75" x14ac:dyDescent="0.2"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6"/>
      <c r="W765" s="16"/>
      <c r="X765" s="16"/>
      <c r="Y765" s="16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</row>
    <row r="766" spans="2:45" ht="12.75" x14ac:dyDescent="0.2"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6"/>
      <c r="W766" s="16"/>
      <c r="X766" s="16"/>
      <c r="Y766" s="16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</row>
    <row r="767" spans="2:45" ht="12.75" x14ac:dyDescent="0.2"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6"/>
      <c r="W767" s="16"/>
      <c r="X767" s="16"/>
      <c r="Y767" s="16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</row>
    <row r="768" spans="2:45" ht="12.75" x14ac:dyDescent="0.2"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6"/>
      <c r="W768" s="16"/>
      <c r="X768" s="16"/>
      <c r="Y768" s="16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</row>
    <row r="769" spans="2:45" ht="12.75" x14ac:dyDescent="0.2"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6"/>
      <c r="W769" s="16"/>
      <c r="X769" s="16"/>
      <c r="Y769" s="16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</row>
    <row r="770" spans="2:45" ht="12.75" x14ac:dyDescent="0.2"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6"/>
      <c r="W770" s="16"/>
      <c r="X770" s="16"/>
      <c r="Y770" s="16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</row>
    <row r="771" spans="2:45" ht="12.75" x14ac:dyDescent="0.2"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6"/>
      <c r="W771" s="16"/>
      <c r="X771" s="16"/>
      <c r="Y771" s="16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</row>
    <row r="772" spans="2:45" ht="12.75" x14ac:dyDescent="0.2"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6"/>
      <c r="W772" s="16"/>
      <c r="X772" s="16"/>
      <c r="Y772" s="16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</row>
    <row r="773" spans="2:45" ht="12.75" x14ac:dyDescent="0.2"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6"/>
      <c r="W773" s="16"/>
      <c r="X773" s="16"/>
      <c r="Y773" s="16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</row>
    <row r="774" spans="2:45" ht="12.75" x14ac:dyDescent="0.2"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6"/>
      <c r="W774" s="16"/>
      <c r="X774" s="16"/>
      <c r="Y774" s="16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</row>
    <row r="775" spans="2:45" ht="12.75" x14ac:dyDescent="0.2"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6"/>
      <c r="W775" s="16"/>
      <c r="X775" s="16"/>
      <c r="Y775" s="16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</row>
    <row r="776" spans="2:45" ht="12.75" x14ac:dyDescent="0.2"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6"/>
      <c r="W776" s="16"/>
      <c r="X776" s="16"/>
      <c r="Y776" s="16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</row>
    <row r="777" spans="2:45" ht="12.75" x14ac:dyDescent="0.2"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6"/>
      <c r="W777" s="16"/>
      <c r="X777" s="16"/>
      <c r="Y777" s="16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</row>
    <row r="778" spans="2:45" ht="12.75" x14ac:dyDescent="0.2"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6"/>
      <c r="W778" s="16"/>
      <c r="X778" s="16"/>
      <c r="Y778" s="16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</row>
    <row r="779" spans="2:45" ht="12.75" x14ac:dyDescent="0.2"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6"/>
      <c r="W779" s="16"/>
      <c r="X779" s="16"/>
      <c r="Y779" s="16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</row>
    <row r="780" spans="2:45" ht="12.75" x14ac:dyDescent="0.2"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6"/>
      <c r="W780" s="16"/>
      <c r="X780" s="16"/>
      <c r="Y780" s="16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</row>
    <row r="781" spans="2:45" ht="12.75" x14ac:dyDescent="0.2"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6"/>
      <c r="W781" s="16"/>
      <c r="X781" s="16"/>
      <c r="Y781" s="16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</row>
    <row r="782" spans="2:45" ht="12.75" x14ac:dyDescent="0.2"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6"/>
      <c r="W782" s="16"/>
      <c r="X782" s="16"/>
      <c r="Y782" s="16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</row>
    <row r="783" spans="2:45" ht="12.75" x14ac:dyDescent="0.2"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6"/>
      <c r="W783" s="16"/>
      <c r="X783" s="16"/>
      <c r="Y783" s="16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</row>
    <row r="784" spans="2:45" ht="12.75" x14ac:dyDescent="0.2"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6"/>
      <c r="W784" s="16"/>
      <c r="X784" s="16"/>
      <c r="Y784" s="16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</row>
    <row r="785" spans="2:45" ht="12.75" x14ac:dyDescent="0.2"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6"/>
      <c r="W785" s="16"/>
      <c r="X785" s="16"/>
      <c r="Y785" s="16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</row>
    <row r="786" spans="2:45" ht="12.75" x14ac:dyDescent="0.2"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6"/>
      <c r="W786" s="16"/>
      <c r="X786" s="16"/>
      <c r="Y786" s="16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</row>
    <row r="787" spans="2:45" ht="12.75" x14ac:dyDescent="0.2"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6"/>
      <c r="W787" s="16"/>
      <c r="X787" s="16"/>
      <c r="Y787" s="16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</row>
    <row r="788" spans="2:45" ht="12.75" x14ac:dyDescent="0.2"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6"/>
      <c r="W788" s="16"/>
      <c r="X788" s="16"/>
      <c r="Y788" s="16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</row>
    <row r="789" spans="2:45" ht="12.75" x14ac:dyDescent="0.2"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6"/>
      <c r="W789" s="16"/>
      <c r="X789" s="16"/>
      <c r="Y789" s="16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</row>
    <row r="790" spans="2:45" ht="12.75" x14ac:dyDescent="0.2"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6"/>
      <c r="W790" s="16"/>
      <c r="X790" s="16"/>
      <c r="Y790" s="16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</row>
    <row r="791" spans="2:45" ht="12.75" x14ac:dyDescent="0.2"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6"/>
      <c r="W791" s="16"/>
      <c r="X791" s="16"/>
      <c r="Y791" s="16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</row>
    <row r="792" spans="2:45" ht="12.75" x14ac:dyDescent="0.2"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6"/>
      <c r="W792" s="16"/>
      <c r="X792" s="16"/>
      <c r="Y792" s="16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</row>
    <row r="793" spans="2:45" ht="12.75" x14ac:dyDescent="0.2"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6"/>
      <c r="W793" s="16"/>
      <c r="X793" s="16"/>
      <c r="Y793" s="16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</row>
    <row r="794" spans="2:45" ht="12.75" x14ac:dyDescent="0.2"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6"/>
      <c r="W794" s="16"/>
      <c r="X794" s="16"/>
      <c r="Y794" s="16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</row>
    <row r="795" spans="2:45" ht="12.75" x14ac:dyDescent="0.2"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6"/>
      <c r="W795" s="16"/>
      <c r="X795" s="16"/>
      <c r="Y795" s="16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</row>
    <row r="796" spans="2:45" ht="12.75" x14ac:dyDescent="0.2"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6"/>
      <c r="W796" s="16"/>
      <c r="X796" s="16"/>
      <c r="Y796" s="16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</row>
    <row r="797" spans="2:45" ht="12.75" x14ac:dyDescent="0.2"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6"/>
      <c r="W797" s="16"/>
      <c r="X797" s="16"/>
      <c r="Y797" s="16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</row>
    <row r="798" spans="2:45" ht="12.75" x14ac:dyDescent="0.2"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6"/>
      <c r="W798" s="16"/>
      <c r="X798" s="16"/>
      <c r="Y798" s="16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</row>
    <row r="799" spans="2:45" ht="12.75" x14ac:dyDescent="0.2"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6"/>
      <c r="W799" s="16"/>
      <c r="X799" s="16"/>
      <c r="Y799" s="16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</row>
    <row r="800" spans="2:45" ht="12.75" x14ac:dyDescent="0.2"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6"/>
      <c r="W800" s="16"/>
      <c r="X800" s="16"/>
      <c r="Y800" s="16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</row>
    <row r="801" spans="2:45" ht="12.75" x14ac:dyDescent="0.2"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6"/>
      <c r="W801" s="16"/>
      <c r="X801" s="16"/>
      <c r="Y801" s="16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</row>
    <row r="802" spans="2:45" ht="12.75" x14ac:dyDescent="0.2"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6"/>
      <c r="W802" s="16"/>
      <c r="X802" s="16"/>
      <c r="Y802" s="16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</row>
    <row r="803" spans="2:45" ht="12.75" x14ac:dyDescent="0.2"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6"/>
      <c r="W803" s="16"/>
      <c r="X803" s="16"/>
      <c r="Y803" s="16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</row>
    <row r="804" spans="2:45" ht="12.75" x14ac:dyDescent="0.2"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6"/>
      <c r="W804" s="16"/>
      <c r="X804" s="16"/>
      <c r="Y804" s="16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</row>
    <row r="805" spans="2:45" ht="12.75" x14ac:dyDescent="0.2"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6"/>
      <c r="W805" s="16"/>
      <c r="X805" s="16"/>
      <c r="Y805" s="16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</row>
    <row r="806" spans="2:45" ht="12.75" x14ac:dyDescent="0.2"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6"/>
      <c r="W806" s="16"/>
      <c r="X806" s="16"/>
      <c r="Y806" s="16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</row>
    <row r="807" spans="2:45" ht="12.75" x14ac:dyDescent="0.2"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6"/>
      <c r="W807" s="16"/>
      <c r="X807" s="16"/>
      <c r="Y807" s="16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</row>
    <row r="808" spans="2:45" ht="12.75" x14ac:dyDescent="0.2"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6"/>
      <c r="W808" s="16"/>
      <c r="X808" s="16"/>
      <c r="Y808" s="16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</row>
    <row r="809" spans="2:45" ht="12.75" x14ac:dyDescent="0.2"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6"/>
      <c r="W809" s="16"/>
      <c r="X809" s="16"/>
      <c r="Y809" s="16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</row>
    <row r="810" spans="2:45" ht="12.75" x14ac:dyDescent="0.2"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6"/>
      <c r="W810" s="16"/>
      <c r="X810" s="16"/>
      <c r="Y810" s="16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</row>
    <row r="811" spans="2:45" ht="12.75" x14ac:dyDescent="0.2"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6"/>
      <c r="W811" s="16"/>
      <c r="X811" s="16"/>
      <c r="Y811" s="16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</row>
    <row r="812" spans="2:45" ht="12.75" x14ac:dyDescent="0.2"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6"/>
      <c r="W812" s="16"/>
      <c r="X812" s="16"/>
      <c r="Y812" s="16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</row>
    <row r="813" spans="2:45" ht="12.75" x14ac:dyDescent="0.2"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6"/>
      <c r="W813" s="16"/>
      <c r="X813" s="16"/>
      <c r="Y813" s="16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</row>
    <row r="814" spans="2:45" ht="12.75" x14ac:dyDescent="0.2"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6"/>
      <c r="W814" s="16"/>
      <c r="X814" s="16"/>
      <c r="Y814" s="16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</row>
    <row r="815" spans="2:45" ht="12.75" x14ac:dyDescent="0.2"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6"/>
      <c r="W815" s="16"/>
      <c r="X815" s="16"/>
      <c r="Y815" s="16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</row>
    <row r="816" spans="2:45" ht="12.75" x14ac:dyDescent="0.2"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6"/>
      <c r="W816" s="16"/>
      <c r="X816" s="16"/>
      <c r="Y816" s="16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</row>
    <row r="817" spans="2:45" ht="12.75" x14ac:dyDescent="0.2"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6"/>
      <c r="W817" s="16"/>
      <c r="X817" s="16"/>
      <c r="Y817" s="16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</row>
    <row r="818" spans="2:45" ht="12.75" x14ac:dyDescent="0.2"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6"/>
      <c r="W818" s="16"/>
      <c r="X818" s="16"/>
      <c r="Y818" s="16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</row>
    <row r="819" spans="2:45" ht="12.75" x14ac:dyDescent="0.2"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6"/>
      <c r="W819" s="16"/>
      <c r="X819" s="16"/>
      <c r="Y819" s="16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</row>
    <row r="820" spans="2:45" ht="12.75" x14ac:dyDescent="0.2"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6"/>
      <c r="W820" s="16"/>
      <c r="X820" s="16"/>
      <c r="Y820" s="16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</row>
    <row r="821" spans="2:45" ht="12.75" x14ac:dyDescent="0.2"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6"/>
      <c r="W821" s="16"/>
      <c r="X821" s="16"/>
      <c r="Y821" s="16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</row>
    <row r="822" spans="2:45" ht="12.75" x14ac:dyDescent="0.2"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6"/>
      <c r="W822" s="16"/>
      <c r="X822" s="16"/>
      <c r="Y822" s="16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</row>
    <row r="823" spans="2:45" ht="12.75" x14ac:dyDescent="0.2"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6"/>
      <c r="W823" s="16"/>
      <c r="X823" s="16"/>
      <c r="Y823" s="16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</row>
    <row r="824" spans="2:45" ht="12.75" x14ac:dyDescent="0.2"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6"/>
      <c r="W824" s="16"/>
      <c r="X824" s="16"/>
      <c r="Y824" s="16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</row>
    <row r="825" spans="2:45" ht="12.75" x14ac:dyDescent="0.2"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6"/>
      <c r="W825" s="16"/>
      <c r="X825" s="16"/>
      <c r="Y825" s="16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</row>
    <row r="826" spans="2:45" ht="12.75" x14ac:dyDescent="0.2"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6"/>
      <c r="W826" s="16"/>
      <c r="X826" s="16"/>
      <c r="Y826" s="16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</row>
    <row r="827" spans="2:45" ht="12.75" x14ac:dyDescent="0.2"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6"/>
      <c r="W827" s="16"/>
      <c r="X827" s="16"/>
      <c r="Y827" s="16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</row>
    <row r="828" spans="2:45" ht="12.75" x14ac:dyDescent="0.2"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6"/>
      <c r="W828" s="16"/>
      <c r="X828" s="16"/>
      <c r="Y828" s="16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</row>
    <row r="829" spans="2:45" ht="12.75" x14ac:dyDescent="0.2"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6"/>
      <c r="W829" s="16"/>
      <c r="X829" s="16"/>
      <c r="Y829" s="16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</row>
    <row r="830" spans="2:45" ht="12.75" x14ac:dyDescent="0.2"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6"/>
      <c r="W830" s="16"/>
      <c r="X830" s="16"/>
      <c r="Y830" s="16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</row>
    <row r="831" spans="2:45" ht="12.75" x14ac:dyDescent="0.2"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6"/>
      <c r="W831" s="16"/>
      <c r="X831" s="16"/>
      <c r="Y831" s="16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</row>
    <row r="832" spans="2:45" ht="12.75" x14ac:dyDescent="0.2"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6"/>
      <c r="W832" s="16"/>
      <c r="X832" s="16"/>
      <c r="Y832" s="16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</row>
    <row r="833" spans="2:45" ht="12.75" x14ac:dyDescent="0.2"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6"/>
      <c r="W833" s="16"/>
      <c r="X833" s="16"/>
      <c r="Y833" s="16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</row>
    <row r="834" spans="2:45" ht="12.75" x14ac:dyDescent="0.2"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6"/>
      <c r="W834" s="16"/>
      <c r="X834" s="16"/>
      <c r="Y834" s="16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</row>
    <row r="835" spans="2:45" ht="12.75" x14ac:dyDescent="0.2"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6"/>
      <c r="W835" s="16"/>
      <c r="X835" s="16"/>
      <c r="Y835" s="16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</row>
    <row r="836" spans="2:45" ht="12.75" x14ac:dyDescent="0.2"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6"/>
      <c r="W836" s="16"/>
      <c r="X836" s="16"/>
      <c r="Y836" s="16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</row>
    <row r="837" spans="2:45" ht="12.75" x14ac:dyDescent="0.2"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6"/>
      <c r="W837" s="16"/>
      <c r="X837" s="16"/>
      <c r="Y837" s="16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</row>
    <row r="838" spans="2:45" ht="12.75" x14ac:dyDescent="0.2"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6"/>
      <c r="W838" s="16"/>
      <c r="X838" s="16"/>
      <c r="Y838" s="16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</row>
    <row r="839" spans="2:45" ht="12.75" x14ac:dyDescent="0.2"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6"/>
      <c r="W839" s="16"/>
      <c r="X839" s="16"/>
      <c r="Y839" s="16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</row>
    <row r="840" spans="2:45" ht="12.75" x14ac:dyDescent="0.2"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6"/>
      <c r="W840" s="16"/>
      <c r="X840" s="16"/>
      <c r="Y840" s="16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</row>
    <row r="841" spans="2:45" ht="12.75" x14ac:dyDescent="0.2"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6"/>
      <c r="W841" s="16"/>
      <c r="X841" s="16"/>
      <c r="Y841" s="16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</row>
    <row r="842" spans="2:45" ht="12.75" x14ac:dyDescent="0.2"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6"/>
      <c r="W842" s="16"/>
      <c r="X842" s="16"/>
      <c r="Y842" s="16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</row>
    <row r="843" spans="2:45" ht="12.75" x14ac:dyDescent="0.2"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6"/>
      <c r="W843" s="16"/>
      <c r="X843" s="16"/>
      <c r="Y843" s="16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</row>
    <row r="844" spans="2:45" ht="12.75" x14ac:dyDescent="0.2"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6"/>
      <c r="W844" s="16"/>
      <c r="X844" s="16"/>
      <c r="Y844" s="16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</row>
    <row r="845" spans="2:45" ht="12.75" x14ac:dyDescent="0.2"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6"/>
      <c r="W845" s="16"/>
      <c r="X845" s="16"/>
      <c r="Y845" s="16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</row>
    <row r="846" spans="2:45" ht="12.75" x14ac:dyDescent="0.2"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6"/>
      <c r="W846" s="16"/>
      <c r="X846" s="16"/>
      <c r="Y846" s="16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</row>
    <row r="847" spans="2:45" ht="12.75" x14ac:dyDescent="0.2"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6"/>
      <c r="W847" s="16"/>
      <c r="X847" s="16"/>
      <c r="Y847" s="16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</row>
    <row r="848" spans="2:45" ht="12.75" x14ac:dyDescent="0.2"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6"/>
      <c r="W848" s="16"/>
      <c r="X848" s="16"/>
      <c r="Y848" s="16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</row>
    <row r="849" spans="2:45" ht="12.75" x14ac:dyDescent="0.2"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6"/>
      <c r="W849" s="16"/>
      <c r="X849" s="16"/>
      <c r="Y849" s="16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</row>
    <row r="850" spans="2:45" ht="12.75" x14ac:dyDescent="0.2"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6"/>
      <c r="W850" s="16"/>
      <c r="X850" s="16"/>
      <c r="Y850" s="16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</row>
    <row r="851" spans="2:45" ht="12.75" x14ac:dyDescent="0.2"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6"/>
      <c r="W851" s="16"/>
      <c r="X851" s="16"/>
      <c r="Y851" s="16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</row>
    <row r="852" spans="2:45" ht="12.75" x14ac:dyDescent="0.2"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6"/>
      <c r="W852" s="16"/>
      <c r="X852" s="16"/>
      <c r="Y852" s="16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</row>
    <row r="853" spans="2:45" ht="12.75" x14ac:dyDescent="0.2"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6"/>
      <c r="W853" s="16"/>
      <c r="X853" s="16"/>
      <c r="Y853" s="16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</row>
    <row r="854" spans="2:45" ht="12.75" x14ac:dyDescent="0.2"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6"/>
      <c r="W854" s="16"/>
      <c r="X854" s="16"/>
      <c r="Y854" s="16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</row>
    <row r="855" spans="2:45" ht="12.75" x14ac:dyDescent="0.2"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6"/>
      <c r="W855" s="16"/>
      <c r="X855" s="16"/>
      <c r="Y855" s="16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</row>
    <row r="856" spans="2:45" ht="12.75" x14ac:dyDescent="0.2"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6"/>
      <c r="W856" s="16"/>
      <c r="X856" s="16"/>
      <c r="Y856" s="16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</row>
    <row r="857" spans="2:45" ht="12.75" x14ac:dyDescent="0.2"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6"/>
      <c r="W857" s="16"/>
      <c r="X857" s="16"/>
      <c r="Y857" s="16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</row>
    <row r="858" spans="2:45" ht="12.75" x14ac:dyDescent="0.2"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6"/>
      <c r="W858" s="16"/>
      <c r="X858" s="16"/>
      <c r="Y858" s="16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</row>
    <row r="859" spans="2:45" ht="12.75" x14ac:dyDescent="0.2"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6"/>
      <c r="W859" s="16"/>
      <c r="X859" s="16"/>
      <c r="Y859" s="16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</row>
    <row r="860" spans="2:45" ht="12.75" x14ac:dyDescent="0.2"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6"/>
      <c r="W860" s="16"/>
      <c r="X860" s="16"/>
      <c r="Y860" s="16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</row>
    <row r="861" spans="2:45" ht="12.75" x14ac:dyDescent="0.2"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6"/>
      <c r="W861" s="16"/>
      <c r="X861" s="16"/>
      <c r="Y861" s="16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</row>
    <row r="862" spans="2:45" ht="12.75" x14ac:dyDescent="0.2"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6"/>
      <c r="W862" s="16"/>
      <c r="X862" s="16"/>
      <c r="Y862" s="16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</row>
    <row r="863" spans="2:45" ht="12.75" x14ac:dyDescent="0.2"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6"/>
      <c r="W863" s="16"/>
      <c r="X863" s="16"/>
      <c r="Y863" s="16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</row>
    <row r="864" spans="2:45" ht="12.75" x14ac:dyDescent="0.2"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6"/>
      <c r="W864" s="16"/>
      <c r="X864" s="16"/>
      <c r="Y864" s="16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</row>
    <row r="865" spans="2:45" ht="12.75" x14ac:dyDescent="0.2"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6"/>
      <c r="W865" s="16"/>
      <c r="X865" s="16"/>
      <c r="Y865" s="16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</row>
    <row r="866" spans="2:45" ht="12.75" x14ac:dyDescent="0.2"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6"/>
      <c r="W866" s="16"/>
      <c r="X866" s="16"/>
      <c r="Y866" s="16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</row>
    <row r="867" spans="2:45" ht="12.75" x14ac:dyDescent="0.2"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6"/>
      <c r="W867" s="16"/>
      <c r="X867" s="16"/>
      <c r="Y867" s="16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</row>
    <row r="868" spans="2:45" ht="12.75" x14ac:dyDescent="0.2"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6"/>
      <c r="W868" s="16"/>
      <c r="X868" s="16"/>
      <c r="Y868" s="16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</row>
    <row r="869" spans="2:45" ht="12.75" x14ac:dyDescent="0.2"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6"/>
      <c r="W869" s="16"/>
      <c r="X869" s="16"/>
      <c r="Y869" s="16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</row>
    <row r="870" spans="2:45" ht="12.75" x14ac:dyDescent="0.2"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6"/>
      <c r="W870" s="16"/>
      <c r="X870" s="16"/>
      <c r="Y870" s="16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</row>
    <row r="871" spans="2:45" ht="12.75" x14ac:dyDescent="0.2"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6"/>
      <c r="W871" s="16"/>
      <c r="X871" s="16"/>
      <c r="Y871" s="16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</row>
    <row r="872" spans="2:45" ht="12.75" x14ac:dyDescent="0.2"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6"/>
      <c r="W872" s="16"/>
      <c r="X872" s="16"/>
      <c r="Y872" s="16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</row>
    <row r="873" spans="2:45" ht="12.75" x14ac:dyDescent="0.2"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6"/>
      <c r="W873" s="16"/>
      <c r="X873" s="16"/>
      <c r="Y873" s="16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</row>
    <row r="874" spans="2:45" ht="12.75" x14ac:dyDescent="0.2"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6"/>
      <c r="W874" s="16"/>
      <c r="X874" s="16"/>
      <c r="Y874" s="16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</row>
    <row r="875" spans="2:45" ht="12.75" x14ac:dyDescent="0.2"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6"/>
      <c r="W875" s="16"/>
      <c r="X875" s="16"/>
      <c r="Y875" s="16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</row>
    <row r="876" spans="2:45" ht="12.75" x14ac:dyDescent="0.2"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6"/>
      <c r="W876" s="16"/>
      <c r="X876" s="16"/>
      <c r="Y876" s="16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</row>
    <row r="877" spans="2:45" ht="12.75" x14ac:dyDescent="0.2"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6"/>
      <c r="W877" s="16"/>
      <c r="X877" s="16"/>
      <c r="Y877" s="16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</row>
    <row r="878" spans="2:45" ht="12.75" x14ac:dyDescent="0.2"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6"/>
      <c r="W878" s="16"/>
      <c r="X878" s="16"/>
      <c r="Y878" s="16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</row>
    <row r="879" spans="2:45" ht="12.75" x14ac:dyDescent="0.2"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6"/>
      <c r="W879" s="16"/>
      <c r="X879" s="16"/>
      <c r="Y879" s="16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</row>
    <row r="880" spans="2:45" ht="12.75" x14ac:dyDescent="0.2"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6"/>
      <c r="W880" s="16"/>
      <c r="X880" s="16"/>
      <c r="Y880" s="16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</row>
    <row r="881" spans="2:45" ht="12.75" x14ac:dyDescent="0.2"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6"/>
      <c r="W881" s="16"/>
      <c r="X881" s="16"/>
      <c r="Y881" s="16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</row>
    <row r="882" spans="2:45" ht="12.75" x14ac:dyDescent="0.2"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6"/>
      <c r="W882" s="16"/>
      <c r="X882" s="16"/>
      <c r="Y882" s="16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</row>
    <row r="883" spans="2:45" ht="12.75" x14ac:dyDescent="0.2"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6"/>
      <c r="W883" s="16"/>
      <c r="X883" s="16"/>
      <c r="Y883" s="16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</row>
    <row r="884" spans="2:45" ht="12.75" x14ac:dyDescent="0.2"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6"/>
      <c r="W884" s="16"/>
      <c r="X884" s="16"/>
      <c r="Y884" s="16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</row>
    <row r="885" spans="2:45" ht="12.75" x14ac:dyDescent="0.2"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6"/>
      <c r="W885" s="16"/>
      <c r="X885" s="16"/>
      <c r="Y885" s="16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</row>
    <row r="886" spans="2:45" ht="12.75" x14ac:dyDescent="0.2"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6"/>
      <c r="W886" s="16"/>
      <c r="X886" s="16"/>
      <c r="Y886" s="16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</row>
    <row r="887" spans="2:45" ht="12.75" x14ac:dyDescent="0.2"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6"/>
      <c r="W887" s="16"/>
      <c r="X887" s="16"/>
      <c r="Y887" s="16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</row>
    <row r="888" spans="2:45" ht="12.75" x14ac:dyDescent="0.2"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6"/>
      <c r="W888" s="16"/>
      <c r="X888" s="16"/>
      <c r="Y888" s="16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</row>
    <row r="889" spans="2:45" ht="12.75" x14ac:dyDescent="0.2"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6"/>
      <c r="W889" s="16"/>
      <c r="X889" s="16"/>
      <c r="Y889" s="16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</row>
    <row r="890" spans="2:45" ht="12.75" x14ac:dyDescent="0.2"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6"/>
      <c r="W890" s="16"/>
      <c r="X890" s="16"/>
      <c r="Y890" s="16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</row>
    <row r="891" spans="2:45" ht="12.75" x14ac:dyDescent="0.2"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6"/>
      <c r="W891" s="16"/>
      <c r="X891" s="16"/>
      <c r="Y891" s="16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</row>
    <row r="892" spans="2:45" ht="12.75" x14ac:dyDescent="0.2"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6"/>
      <c r="W892" s="16"/>
      <c r="X892" s="16"/>
      <c r="Y892" s="16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</row>
    <row r="893" spans="2:45" ht="12.75" x14ac:dyDescent="0.2"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6"/>
      <c r="W893" s="16"/>
      <c r="X893" s="16"/>
      <c r="Y893" s="16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</row>
    <row r="894" spans="2:45" ht="12.75" x14ac:dyDescent="0.2"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6"/>
      <c r="W894" s="16"/>
      <c r="X894" s="16"/>
      <c r="Y894" s="16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</row>
    <row r="895" spans="2:45" ht="12.75" x14ac:dyDescent="0.2"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6"/>
      <c r="W895" s="16"/>
      <c r="X895" s="16"/>
      <c r="Y895" s="16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</row>
    <row r="896" spans="2:45" ht="12.75" x14ac:dyDescent="0.2"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6"/>
      <c r="W896" s="16"/>
      <c r="X896" s="16"/>
      <c r="Y896" s="16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</row>
    <row r="897" spans="2:45" ht="12.75" x14ac:dyDescent="0.2"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6"/>
      <c r="W897" s="16"/>
      <c r="X897" s="16"/>
      <c r="Y897" s="16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</row>
    <row r="898" spans="2:45" ht="12.75" x14ac:dyDescent="0.2"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6"/>
      <c r="W898" s="16"/>
      <c r="X898" s="16"/>
      <c r="Y898" s="16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</row>
    <row r="899" spans="2:45" ht="12.75" x14ac:dyDescent="0.2"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6"/>
      <c r="W899" s="16"/>
      <c r="X899" s="16"/>
      <c r="Y899" s="16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</row>
    <row r="900" spans="2:45" ht="12.75" x14ac:dyDescent="0.2"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6"/>
      <c r="W900" s="16"/>
      <c r="X900" s="16"/>
      <c r="Y900" s="16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</row>
    <row r="901" spans="2:45" ht="12.75" x14ac:dyDescent="0.2"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6"/>
      <c r="W901" s="16"/>
      <c r="X901" s="16"/>
      <c r="Y901" s="16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</row>
    <row r="902" spans="2:45" ht="12.75" x14ac:dyDescent="0.2"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6"/>
      <c r="W902" s="16"/>
      <c r="X902" s="16"/>
      <c r="Y902" s="16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</row>
    <row r="903" spans="2:45" ht="12.75" x14ac:dyDescent="0.2"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6"/>
      <c r="W903" s="16"/>
      <c r="X903" s="16"/>
      <c r="Y903" s="16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</row>
    <row r="904" spans="2:45" ht="12.75" x14ac:dyDescent="0.2"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6"/>
      <c r="W904" s="16"/>
      <c r="X904" s="16"/>
      <c r="Y904" s="16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</row>
    <row r="905" spans="2:45" ht="12.75" x14ac:dyDescent="0.2"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6"/>
      <c r="W905" s="16"/>
      <c r="X905" s="16"/>
      <c r="Y905" s="16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</row>
    <row r="906" spans="2:45" ht="12.75" x14ac:dyDescent="0.2"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6"/>
      <c r="W906" s="16"/>
      <c r="X906" s="16"/>
      <c r="Y906" s="16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</row>
    <row r="907" spans="2:45" ht="12.75" x14ac:dyDescent="0.2"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6"/>
      <c r="W907" s="16"/>
      <c r="X907" s="16"/>
      <c r="Y907" s="16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</row>
    <row r="908" spans="2:45" ht="12.75" x14ac:dyDescent="0.2"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6"/>
      <c r="W908" s="16"/>
      <c r="X908" s="16"/>
      <c r="Y908" s="16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</row>
    <row r="909" spans="2:45" ht="12.75" x14ac:dyDescent="0.2"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6"/>
      <c r="W909" s="16"/>
      <c r="X909" s="16"/>
      <c r="Y909" s="16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</row>
    <row r="910" spans="2:45" ht="12.75" x14ac:dyDescent="0.2"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6"/>
      <c r="W910" s="16"/>
      <c r="X910" s="16"/>
      <c r="Y910" s="16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</row>
    <row r="911" spans="2:45" ht="12.75" x14ac:dyDescent="0.2"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6"/>
      <c r="W911" s="16"/>
      <c r="X911" s="16"/>
      <c r="Y911" s="16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</row>
    <row r="912" spans="2:45" ht="12.75" x14ac:dyDescent="0.2"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6"/>
      <c r="W912" s="16"/>
      <c r="X912" s="16"/>
      <c r="Y912" s="16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</row>
    <row r="913" spans="2:45" ht="12.75" x14ac:dyDescent="0.2"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6"/>
      <c r="W913" s="16"/>
      <c r="X913" s="16"/>
      <c r="Y913" s="16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</row>
    <row r="914" spans="2:45" ht="12.75" x14ac:dyDescent="0.2"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6"/>
      <c r="W914" s="16"/>
      <c r="X914" s="16"/>
      <c r="Y914" s="16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</row>
    <row r="915" spans="2:45" ht="12.75" x14ac:dyDescent="0.2"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6"/>
      <c r="W915" s="16"/>
      <c r="X915" s="16"/>
      <c r="Y915" s="16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</row>
    <row r="916" spans="2:45" ht="12.75" x14ac:dyDescent="0.2"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6"/>
      <c r="W916" s="16"/>
      <c r="X916" s="16"/>
      <c r="Y916" s="16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</row>
    <row r="917" spans="2:45" ht="12.75" x14ac:dyDescent="0.2"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6"/>
      <c r="W917" s="16"/>
      <c r="X917" s="16"/>
      <c r="Y917" s="16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</row>
    <row r="918" spans="2:45" ht="12.75" x14ac:dyDescent="0.2"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6"/>
      <c r="W918" s="16"/>
      <c r="X918" s="16"/>
      <c r="Y918" s="16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</row>
    <row r="919" spans="2:45" ht="12.75" x14ac:dyDescent="0.2"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6"/>
      <c r="W919" s="16"/>
      <c r="X919" s="16"/>
      <c r="Y919" s="16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</row>
    <row r="920" spans="2:45" ht="12.75" x14ac:dyDescent="0.2"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6"/>
      <c r="W920" s="16"/>
      <c r="X920" s="16"/>
      <c r="Y920" s="16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</row>
    <row r="921" spans="2:45" ht="12.75" x14ac:dyDescent="0.2"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6"/>
      <c r="W921" s="16"/>
      <c r="X921" s="16"/>
      <c r="Y921" s="16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</row>
    <row r="922" spans="2:45" ht="12.75" x14ac:dyDescent="0.2"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6"/>
      <c r="W922" s="16"/>
      <c r="X922" s="16"/>
      <c r="Y922" s="16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</row>
    <row r="923" spans="2:45" ht="12.75" x14ac:dyDescent="0.2"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6"/>
      <c r="W923" s="16"/>
      <c r="X923" s="16"/>
      <c r="Y923" s="16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</row>
    <row r="924" spans="2:45" ht="12.75" x14ac:dyDescent="0.2"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6"/>
      <c r="W924" s="16"/>
      <c r="X924" s="16"/>
      <c r="Y924" s="16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</row>
    <row r="925" spans="2:45" ht="12.75" x14ac:dyDescent="0.2"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6"/>
      <c r="W925" s="16"/>
      <c r="X925" s="16"/>
      <c r="Y925" s="16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</row>
    <row r="926" spans="2:45" ht="12.75" x14ac:dyDescent="0.2"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6"/>
      <c r="W926" s="16"/>
      <c r="X926" s="16"/>
      <c r="Y926" s="16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</row>
    <row r="927" spans="2:45" ht="12.75" x14ac:dyDescent="0.2"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6"/>
      <c r="W927" s="16"/>
      <c r="X927" s="16"/>
      <c r="Y927" s="16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</row>
    <row r="928" spans="2:45" ht="12.75" x14ac:dyDescent="0.2"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6"/>
      <c r="W928" s="16"/>
      <c r="X928" s="16"/>
      <c r="Y928" s="16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</row>
    <row r="929" spans="2:45" ht="12.75" x14ac:dyDescent="0.2"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6"/>
      <c r="W929" s="16"/>
      <c r="X929" s="16"/>
      <c r="Y929" s="16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</row>
    <row r="930" spans="2:45" ht="12.75" x14ac:dyDescent="0.2"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6"/>
      <c r="W930" s="16"/>
      <c r="X930" s="16"/>
      <c r="Y930" s="16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</row>
    <row r="931" spans="2:45" ht="12.75" x14ac:dyDescent="0.2"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6"/>
      <c r="W931" s="16"/>
      <c r="X931" s="16"/>
      <c r="Y931" s="16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</row>
    <row r="932" spans="2:45" ht="12.75" x14ac:dyDescent="0.2"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6"/>
      <c r="W932" s="16"/>
      <c r="X932" s="16"/>
      <c r="Y932" s="16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</row>
    <row r="933" spans="2:45" ht="12.75" x14ac:dyDescent="0.2"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6"/>
      <c r="W933" s="16"/>
      <c r="X933" s="16"/>
      <c r="Y933" s="16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</row>
    <row r="934" spans="2:45" ht="12.75" x14ac:dyDescent="0.2"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6"/>
      <c r="W934" s="16"/>
      <c r="X934" s="16"/>
      <c r="Y934" s="16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</row>
    <row r="935" spans="2:45" ht="12.75" x14ac:dyDescent="0.2"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6"/>
      <c r="W935" s="16"/>
      <c r="X935" s="16"/>
      <c r="Y935" s="16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</row>
    <row r="936" spans="2:45" ht="12.75" x14ac:dyDescent="0.2"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6"/>
      <c r="W936" s="16"/>
      <c r="X936" s="16"/>
      <c r="Y936" s="16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</row>
    <row r="937" spans="2:45" ht="12.75" x14ac:dyDescent="0.2"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6"/>
      <c r="W937" s="16"/>
      <c r="X937" s="16"/>
      <c r="Y937" s="16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</row>
    <row r="938" spans="2:45" ht="12.75" x14ac:dyDescent="0.2"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6"/>
      <c r="W938" s="16"/>
      <c r="X938" s="16"/>
      <c r="Y938" s="16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</row>
    <row r="939" spans="2:45" ht="12.75" x14ac:dyDescent="0.2"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6"/>
      <c r="W939" s="16"/>
      <c r="X939" s="16"/>
      <c r="Y939" s="16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</row>
    <row r="940" spans="2:45" ht="12.75" x14ac:dyDescent="0.2"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6"/>
      <c r="W940" s="16"/>
      <c r="X940" s="16"/>
      <c r="Y940" s="16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</row>
    <row r="941" spans="2:45" ht="12.75" x14ac:dyDescent="0.2"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6"/>
      <c r="W941" s="16"/>
      <c r="X941" s="16"/>
      <c r="Y941" s="16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</row>
    <row r="942" spans="2:45" ht="12.75" x14ac:dyDescent="0.2"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6"/>
      <c r="W942" s="16"/>
      <c r="X942" s="16"/>
      <c r="Y942" s="16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</row>
    <row r="943" spans="2:45" ht="12.75" x14ac:dyDescent="0.2"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6"/>
      <c r="W943" s="16"/>
      <c r="X943" s="16"/>
      <c r="Y943" s="16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</row>
    <row r="944" spans="2:45" ht="12.75" x14ac:dyDescent="0.2"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6"/>
      <c r="W944" s="16"/>
      <c r="X944" s="16"/>
      <c r="Y944" s="16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</row>
    <row r="945" spans="2:45" ht="12.75" x14ac:dyDescent="0.2"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6"/>
      <c r="W945" s="16"/>
      <c r="X945" s="16"/>
      <c r="Y945" s="16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</row>
    <row r="946" spans="2:45" ht="12.75" x14ac:dyDescent="0.2"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6"/>
      <c r="W946" s="16"/>
      <c r="X946" s="16"/>
      <c r="Y946" s="16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</row>
    <row r="947" spans="2:45" ht="12.75" x14ac:dyDescent="0.2"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6"/>
      <c r="W947" s="16"/>
      <c r="X947" s="16"/>
      <c r="Y947" s="16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</row>
    <row r="948" spans="2:45" ht="12.75" x14ac:dyDescent="0.2"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6"/>
      <c r="W948" s="16"/>
      <c r="X948" s="16"/>
      <c r="Y948" s="16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</row>
    <row r="949" spans="2:45" ht="12.75" x14ac:dyDescent="0.2"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6"/>
      <c r="W949" s="16"/>
      <c r="X949" s="16"/>
      <c r="Y949" s="16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</row>
    <row r="950" spans="2:45" ht="12.75" x14ac:dyDescent="0.2"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6"/>
      <c r="W950" s="16"/>
      <c r="X950" s="16"/>
      <c r="Y950" s="16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</row>
    <row r="951" spans="2:45" ht="12.75" x14ac:dyDescent="0.2"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6"/>
      <c r="W951" s="16"/>
      <c r="X951" s="16"/>
      <c r="Y951" s="16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</row>
    <row r="952" spans="2:45" ht="12.75" x14ac:dyDescent="0.2"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6"/>
      <c r="W952" s="16"/>
      <c r="X952" s="16"/>
      <c r="Y952" s="16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</row>
    <row r="953" spans="2:45" ht="12.75" x14ac:dyDescent="0.2"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6"/>
      <c r="W953" s="16"/>
      <c r="X953" s="16"/>
      <c r="Y953" s="16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</row>
    <row r="954" spans="2:45" ht="12.75" x14ac:dyDescent="0.2"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6"/>
      <c r="W954" s="16"/>
      <c r="X954" s="16"/>
      <c r="Y954" s="16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</row>
    <row r="955" spans="2:45" ht="12.75" x14ac:dyDescent="0.2"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6"/>
      <c r="W955" s="16"/>
      <c r="X955" s="16"/>
      <c r="Y955" s="16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</row>
    <row r="956" spans="2:45" ht="12.75" x14ac:dyDescent="0.2"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6"/>
      <c r="W956" s="16"/>
      <c r="X956" s="16"/>
      <c r="Y956" s="16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</row>
    <row r="957" spans="2:45" ht="12.75" x14ac:dyDescent="0.2"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6"/>
      <c r="W957" s="16"/>
      <c r="X957" s="16"/>
      <c r="Y957" s="16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</row>
    <row r="958" spans="2:45" ht="12.75" x14ac:dyDescent="0.2"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6"/>
      <c r="W958" s="16"/>
      <c r="X958" s="16"/>
      <c r="Y958" s="16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</row>
    <row r="959" spans="2:45" ht="12.75" x14ac:dyDescent="0.2"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6"/>
      <c r="W959" s="16"/>
      <c r="X959" s="16"/>
      <c r="Y959" s="16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</row>
    <row r="960" spans="2:45" ht="12.75" x14ac:dyDescent="0.2"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6"/>
      <c r="W960" s="16"/>
      <c r="X960" s="16"/>
      <c r="Y960" s="16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</row>
    <row r="961" spans="2:45" ht="12.75" x14ac:dyDescent="0.2"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6"/>
      <c r="W961" s="16"/>
      <c r="X961" s="16"/>
      <c r="Y961" s="16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</row>
    <row r="962" spans="2:45" ht="12.75" x14ac:dyDescent="0.2"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6"/>
      <c r="W962" s="16"/>
      <c r="X962" s="16"/>
      <c r="Y962" s="16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</row>
    <row r="963" spans="2:45" ht="12.75" x14ac:dyDescent="0.2"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6"/>
      <c r="W963" s="16"/>
      <c r="X963" s="16"/>
      <c r="Y963" s="16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</row>
    <row r="964" spans="2:45" ht="12.75" x14ac:dyDescent="0.2"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6"/>
      <c r="W964" s="16"/>
      <c r="X964" s="16"/>
      <c r="Y964" s="16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</row>
    <row r="965" spans="2:45" ht="12.75" x14ac:dyDescent="0.2"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6"/>
      <c r="W965" s="16"/>
      <c r="X965" s="16"/>
      <c r="Y965" s="16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</row>
    <row r="966" spans="2:45" ht="12.75" x14ac:dyDescent="0.2"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6"/>
      <c r="W966" s="16"/>
      <c r="X966" s="16"/>
      <c r="Y966" s="16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</row>
    <row r="967" spans="2:45" ht="12.75" x14ac:dyDescent="0.2"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6"/>
      <c r="W967" s="16"/>
      <c r="X967" s="16"/>
      <c r="Y967" s="16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</row>
    <row r="968" spans="2:45" ht="12.75" x14ac:dyDescent="0.2"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6"/>
      <c r="W968" s="16"/>
      <c r="X968" s="16"/>
      <c r="Y968" s="16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</row>
    <row r="969" spans="2:45" ht="12.75" x14ac:dyDescent="0.2"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6"/>
      <c r="W969" s="16"/>
      <c r="X969" s="16"/>
      <c r="Y969" s="16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</row>
    <row r="970" spans="2:45" ht="12.75" x14ac:dyDescent="0.2"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6"/>
      <c r="W970" s="16"/>
      <c r="X970" s="16"/>
      <c r="Y970" s="16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</row>
    <row r="971" spans="2:45" ht="12.75" x14ac:dyDescent="0.2"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6"/>
      <c r="W971" s="16"/>
      <c r="X971" s="16"/>
      <c r="Y971" s="16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</row>
    <row r="972" spans="2:45" ht="12.75" x14ac:dyDescent="0.2"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6"/>
      <c r="W972" s="16"/>
      <c r="X972" s="16"/>
      <c r="Y972" s="16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</row>
    <row r="973" spans="2:45" ht="12.75" x14ac:dyDescent="0.2"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6"/>
      <c r="W973" s="16"/>
      <c r="X973" s="16"/>
      <c r="Y973" s="16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</row>
    <row r="974" spans="2:45" ht="12.75" x14ac:dyDescent="0.2"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6"/>
      <c r="W974" s="16"/>
      <c r="X974" s="16"/>
      <c r="Y974" s="16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</row>
    <row r="975" spans="2:45" ht="12.75" x14ac:dyDescent="0.2"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6"/>
      <c r="W975" s="16"/>
      <c r="X975" s="16"/>
      <c r="Y975" s="16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</row>
    <row r="976" spans="2:45" ht="12.75" x14ac:dyDescent="0.2"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6"/>
      <c r="W976" s="16"/>
      <c r="X976" s="16"/>
      <c r="Y976" s="16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</row>
    <row r="977" spans="2:45" ht="12.75" x14ac:dyDescent="0.2"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6"/>
      <c r="W977" s="16"/>
      <c r="X977" s="16"/>
      <c r="Y977" s="16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</row>
    <row r="978" spans="2:45" ht="12.75" x14ac:dyDescent="0.2"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6"/>
      <c r="W978" s="16"/>
      <c r="X978" s="16"/>
      <c r="Y978" s="16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</row>
    <row r="979" spans="2:45" ht="12.75" x14ac:dyDescent="0.2"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6"/>
      <c r="W979" s="16"/>
      <c r="X979" s="16"/>
      <c r="Y979" s="16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</row>
    <row r="980" spans="2:45" ht="12.75" x14ac:dyDescent="0.2"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6"/>
      <c r="W980" s="16"/>
      <c r="X980" s="16"/>
      <c r="Y980" s="16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</row>
    <row r="981" spans="2:45" ht="12.75" x14ac:dyDescent="0.2"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6"/>
      <c r="W981" s="16"/>
      <c r="X981" s="16"/>
      <c r="Y981" s="16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</row>
    <row r="982" spans="2:45" ht="12.75" x14ac:dyDescent="0.2"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6"/>
      <c r="W982" s="16"/>
      <c r="X982" s="16"/>
      <c r="Y982" s="16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</row>
    <row r="983" spans="2:45" ht="12.75" x14ac:dyDescent="0.2"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6"/>
      <c r="W983" s="16"/>
      <c r="X983" s="16"/>
      <c r="Y983" s="16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</row>
    <row r="984" spans="2:45" ht="12.75" x14ac:dyDescent="0.2"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6"/>
      <c r="W984" s="16"/>
      <c r="X984" s="16"/>
      <c r="Y984" s="16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</row>
    <row r="985" spans="2:45" ht="12.75" x14ac:dyDescent="0.2"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6"/>
      <c r="W985" s="16"/>
      <c r="X985" s="16"/>
      <c r="Y985" s="16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</row>
    <row r="986" spans="2:45" ht="12.75" x14ac:dyDescent="0.2"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6"/>
      <c r="W986" s="16"/>
      <c r="X986" s="16"/>
      <c r="Y986" s="16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</row>
    <row r="987" spans="2:45" ht="12.75" x14ac:dyDescent="0.2"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6"/>
      <c r="W987" s="16"/>
      <c r="X987" s="16"/>
      <c r="Y987" s="16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</row>
    <row r="988" spans="2:45" ht="12.75" x14ac:dyDescent="0.2"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6"/>
      <c r="W988" s="16"/>
      <c r="X988" s="16"/>
      <c r="Y988" s="16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</row>
    <row r="989" spans="2:45" ht="12.75" x14ac:dyDescent="0.2"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6"/>
      <c r="W989" s="16"/>
      <c r="X989" s="16"/>
      <c r="Y989" s="16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</row>
    <row r="990" spans="2:45" ht="12.75" x14ac:dyDescent="0.2"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6"/>
      <c r="W990" s="16"/>
      <c r="X990" s="16"/>
      <c r="Y990" s="16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</row>
    <row r="991" spans="2:45" ht="12.75" x14ac:dyDescent="0.2"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6"/>
      <c r="W991" s="16"/>
      <c r="X991" s="16"/>
      <c r="Y991" s="16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</row>
    <row r="992" spans="2:45" ht="12.75" x14ac:dyDescent="0.2"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6"/>
      <c r="W992" s="16"/>
      <c r="X992" s="16"/>
      <c r="Y992" s="16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</row>
    <row r="993" spans="2:45" ht="12.75" x14ac:dyDescent="0.2"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6"/>
      <c r="W993" s="16"/>
      <c r="X993" s="16"/>
      <c r="Y993" s="16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  <c r="AQ993" s="12"/>
      <c r="AR993" s="12"/>
      <c r="AS993" s="12"/>
    </row>
    <row r="994" spans="2:45" ht="12.75" x14ac:dyDescent="0.2"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6"/>
      <c r="W994" s="16"/>
      <c r="X994" s="16"/>
      <c r="Y994" s="16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  <c r="AQ994" s="12"/>
      <c r="AR994" s="12"/>
      <c r="AS994" s="12"/>
    </row>
    <row r="995" spans="2:45" ht="12.75" x14ac:dyDescent="0.2"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6"/>
      <c r="W995" s="16"/>
      <c r="X995" s="16"/>
      <c r="Y995" s="16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  <c r="AQ995" s="12"/>
      <c r="AR995" s="12"/>
      <c r="AS995" s="12"/>
    </row>
    <row r="996" spans="2:45" ht="12.75" x14ac:dyDescent="0.2"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6"/>
      <c r="W996" s="16"/>
      <c r="X996" s="16"/>
      <c r="Y996" s="16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  <c r="AQ996" s="12"/>
      <c r="AR996" s="12"/>
      <c r="AS996" s="12"/>
    </row>
    <row r="997" spans="2:45" ht="12.75" x14ac:dyDescent="0.2"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6"/>
      <c r="W997" s="16"/>
      <c r="X997" s="16"/>
      <c r="Y997" s="16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  <c r="AQ997" s="12"/>
      <c r="AR997" s="12"/>
      <c r="AS997" s="12"/>
    </row>
    <row r="998" spans="2:45" ht="12.75" x14ac:dyDescent="0.2"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6"/>
      <c r="W998" s="16"/>
      <c r="X998" s="16"/>
      <c r="Y998" s="16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  <c r="AQ998" s="12"/>
      <c r="AR998" s="12"/>
      <c r="AS998" s="12"/>
    </row>
    <row r="999" spans="2:45" ht="12.75" x14ac:dyDescent="0.2"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6"/>
      <c r="W999" s="16"/>
      <c r="X999" s="16"/>
      <c r="Y999" s="16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  <c r="AQ999" s="12"/>
      <c r="AR999" s="12"/>
      <c r="AS999" s="12"/>
    </row>
    <row r="1000" spans="2:45" ht="12.75" x14ac:dyDescent="0.2"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6"/>
      <c r="W1000" s="16"/>
      <c r="X1000" s="16"/>
      <c r="Y1000" s="16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  <c r="AQ1000" s="12"/>
      <c r="AR1000" s="12"/>
      <c r="AS1000" s="12"/>
    </row>
    <row r="1001" spans="2:45" ht="12.75" x14ac:dyDescent="0.2"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6"/>
      <c r="W1001" s="16"/>
      <c r="X1001" s="16"/>
      <c r="Y1001" s="16"/>
      <c r="Z1001" s="12"/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  <c r="AL1001" s="12"/>
      <c r="AM1001" s="12"/>
      <c r="AN1001" s="12"/>
      <c r="AO1001" s="12"/>
      <c r="AP1001" s="12"/>
      <c r="AQ1001" s="12"/>
      <c r="AR1001" s="12"/>
      <c r="AS1001" s="12"/>
    </row>
    <row r="1002" spans="2:45" ht="12.75" x14ac:dyDescent="0.2"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6"/>
      <c r="W1002" s="16"/>
      <c r="X1002" s="16"/>
      <c r="Y1002" s="16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  <c r="AL1002" s="12"/>
      <c r="AM1002" s="12"/>
      <c r="AN1002" s="12"/>
      <c r="AO1002" s="12"/>
      <c r="AP1002" s="12"/>
      <c r="AQ1002" s="12"/>
      <c r="AR1002" s="12"/>
      <c r="AS1002" s="12"/>
    </row>
    <row r="1003" spans="2:45" ht="12.75" x14ac:dyDescent="0.2"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6"/>
      <c r="W1003" s="16"/>
      <c r="X1003" s="16"/>
      <c r="Y1003" s="16"/>
      <c r="Z1003" s="12"/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  <c r="AL1003" s="12"/>
      <c r="AM1003" s="12"/>
      <c r="AN1003" s="12"/>
      <c r="AO1003" s="12"/>
      <c r="AP1003" s="12"/>
      <c r="AQ1003" s="12"/>
      <c r="AR1003" s="12"/>
      <c r="AS1003" s="12"/>
    </row>
    <row r="1004" spans="2:45" ht="12.75" x14ac:dyDescent="0.2"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6"/>
      <c r="W1004" s="16"/>
      <c r="X1004" s="16"/>
      <c r="Y1004" s="16"/>
      <c r="Z1004" s="12"/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  <c r="AL1004" s="12"/>
      <c r="AM1004" s="12"/>
      <c r="AN1004" s="12"/>
      <c r="AO1004" s="12"/>
      <c r="AP1004" s="12"/>
      <c r="AQ1004" s="12"/>
      <c r="AR1004" s="12"/>
      <c r="AS1004" s="12"/>
    </row>
    <row r="1005" spans="2:45" ht="12.75" x14ac:dyDescent="0.2"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6"/>
      <c r="W1005" s="16"/>
      <c r="X1005" s="16"/>
      <c r="Y1005" s="16"/>
      <c r="Z1005" s="12"/>
      <c r="AA1005" s="12"/>
      <c r="AB1005" s="12"/>
      <c r="AC1005" s="12"/>
      <c r="AD1005" s="12"/>
      <c r="AE1005" s="12"/>
      <c r="AF1005" s="12"/>
      <c r="AG1005" s="12"/>
      <c r="AH1005" s="12"/>
      <c r="AI1005" s="12"/>
      <c r="AJ1005" s="12"/>
      <c r="AK1005" s="12"/>
      <c r="AL1005" s="12"/>
      <c r="AM1005" s="12"/>
      <c r="AN1005" s="12"/>
      <c r="AO1005" s="12"/>
      <c r="AP1005" s="12"/>
      <c r="AQ1005" s="12"/>
      <c r="AR1005" s="12"/>
      <c r="AS1005" s="12"/>
    </row>
    <row r="1006" spans="2:45" ht="12.75" x14ac:dyDescent="0.2"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6"/>
      <c r="W1006" s="16"/>
      <c r="X1006" s="16"/>
      <c r="Y1006" s="16"/>
      <c r="Z1006" s="12"/>
      <c r="AA1006" s="12"/>
      <c r="AB1006" s="12"/>
      <c r="AC1006" s="12"/>
      <c r="AD1006" s="12"/>
      <c r="AE1006" s="12"/>
      <c r="AF1006" s="12"/>
      <c r="AG1006" s="12"/>
      <c r="AH1006" s="12"/>
      <c r="AI1006" s="12"/>
      <c r="AJ1006" s="12"/>
      <c r="AK1006" s="12"/>
      <c r="AL1006" s="12"/>
      <c r="AM1006" s="12"/>
      <c r="AN1006" s="12"/>
      <c r="AO1006" s="12"/>
      <c r="AP1006" s="12"/>
      <c r="AQ1006" s="12"/>
      <c r="AR1006" s="12"/>
      <c r="AS1006" s="12"/>
    </row>
    <row r="1007" spans="2:45" ht="12.75" x14ac:dyDescent="0.2"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6"/>
      <c r="W1007" s="16"/>
      <c r="X1007" s="16"/>
      <c r="Y1007" s="16"/>
      <c r="Z1007" s="12"/>
      <c r="AA1007" s="12"/>
      <c r="AB1007" s="12"/>
      <c r="AC1007" s="12"/>
      <c r="AD1007" s="12"/>
      <c r="AE1007" s="12"/>
      <c r="AF1007" s="12"/>
      <c r="AG1007" s="12"/>
      <c r="AH1007" s="12"/>
      <c r="AI1007" s="12"/>
      <c r="AJ1007" s="12"/>
      <c r="AK1007" s="12"/>
      <c r="AL1007" s="12"/>
      <c r="AM1007" s="12"/>
      <c r="AN1007" s="12"/>
      <c r="AO1007" s="12"/>
      <c r="AP1007" s="12"/>
      <c r="AQ1007" s="12"/>
      <c r="AR1007" s="12"/>
      <c r="AS1007" s="12"/>
    </row>
  </sheetData>
  <autoFilter ref="A1:AS31" xr:uid="{00000000-0009-0000-0000-000000000000}"/>
  <conditionalFormatting sqref="E2:E31">
    <cfRule type="colorScale" priority="1">
      <colorScale>
        <cfvo type="min"/>
        <cfvo type="percent" val="50"/>
        <cfvo type="max"/>
        <color rgb="FFEA4335"/>
        <color rgb="FFFBBC04"/>
        <color rgb="FF34A853"/>
      </colorScale>
    </cfRule>
  </conditionalFormatting>
  <hyperlinks>
    <hyperlink ref="G1" r:id="rId1" location="Europe" xr:uid="{00000000-0004-0000-0000-000000000000}"/>
    <hyperlink ref="H1" r:id="rId2" xr:uid="{00000000-0004-0000-0000-000001000000}"/>
    <hyperlink ref="J1" r:id="rId3" xr:uid="{00000000-0004-0000-0000-000002000000}"/>
    <hyperlink ref="L1" r:id="rId4" xr:uid="{00000000-0004-0000-0000-000003000000}"/>
    <hyperlink ref="M1" r:id="rId5" xr:uid="{00000000-0004-0000-0000-000004000000}"/>
    <hyperlink ref="R1" r:id="rId6" xr:uid="{00000000-0004-0000-0000-000005000000}"/>
    <hyperlink ref="T1" r:id="rId7" xr:uid="{00000000-0004-0000-0000-000006000000}"/>
    <hyperlink ref="W1" r:id="rId8" xr:uid="{00000000-0004-0000-0000-000007000000}"/>
    <hyperlink ref="Z1" r:id="rId9" xr:uid="{00000000-0004-0000-0000-000008000000}"/>
    <hyperlink ref="AC1" r:id="rId10" xr:uid="{00000000-0004-0000-0000-000009000000}"/>
    <hyperlink ref="AF1" r:id="rId11" xr:uid="{00000000-0004-0000-0000-00000A000000}"/>
    <hyperlink ref="AI1" r:id="rId12" xr:uid="{00000000-0004-0000-0000-00000B000000}"/>
    <hyperlink ref="AL1" r:id="rId13" xr:uid="{00000000-0004-0000-0000-00000C000000}"/>
    <hyperlink ref="AN1" r:id="rId14" xr:uid="{00000000-0004-0000-0000-00000D000000}"/>
    <hyperlink ref="AP1" r:id="rId15" xr:uid="{00000000-0004-0000-0000-00000E000000}"/>
    <hyperlink ref="AR1" r:id="rId16" xr:uid="{00000000-0004-0000-0000-00000F000000}"/>
    <hyperlink ref="O2" r:id="rId17" display="https://housinganywhere.com/Spain/spain-work-visa" xr:uid="{00000000-0004-0000-0000-000010000000}"/>
    <hyperlink ref="O3" r:id="rId18" display="https://housinganywhere.com/Spain/spain-work-visa" xr:uid="{00000000-0004-0000-0000-000011000000}"/>
    <hyperlink ref="O4" r:id="rId19" display="https://visaguide.world/europe/portugal-visa/work-visa/" xr:uid="{00000000-0004-0000-0000-000012000000}"/>
    <hyperlink ref="R4" r:id="rId20" display="https://nomadtraveltools.com/place/portugal/lisbon" xr:uid="{00000000-0004-0000-0000-000013000000}"/>
    <hyperlink ref="M5" r:id="rId21" display="https://countryeconomy.com/demography/world-happiness-index/hungary" xr:uid="{00000000-0004-0000-0000-000014000000}"/>
    <hyperlink ref="O5" r:id="rId22" display="http://www.bmbah.hu/index.php?option=com_k2&amp;view=item&amp;layout=item&amp;id=62&amp;Itemid=816&amp;lang=en" xr:uid="{00000000-0004-0000-0000-000015000000}"/>
    <hyperlink ref="R5" r:id="rId23" display="https://www.speedtest.net/global-index/hungary" xr:uid="{00000000-0004-0000-0000-000016000000}"/>
    <hyperlink ref="Z5" r:id="rId24" display="https://interrelo.com/expat-guide-cost-of-living-budapest/" xr:uid="{00000000-0004-0000-0000-000017000000}"/>
    <hyperlink ref="AC5" r:id="rId25" display="https://www.budgetyourtrip.com/hungary/budapest" xr:uid="{00000000-0004-0000-0000-000018000000}"/>
    <hyperlink ref="M6" r:id="rId26" display="https://worldhappiness.report/ed/2020/cities-and-happiness-a-global-ranking-and-analysis/" xr:uid="{00000000-0004-0000-0000-000019000000}"/>
    <hyperlink ref="O6" r:id="rId27" display="https://www.bradfordjacobs.com/countries/czech-republic-visas-and-work-permits/" xr:uid="{00000000-0004-0000-0000-00001A000000}"/>
    <hyperlink ref="R6" r:id="rId28" display="https://www.speedtest.net/global-index/czechia" xr:uid="{00000000-0004-0000-0000-00001B000000}"/>
    <hyperlink ref="AC6" r:id="rId29" display="https://www.hospitalitynet.org/performance/4061428.html" xr:uid="{00000000-0004-0000-0000-00001C000000}"/>
    <hyperlink ref="O7" r:id="rId30" display="https://www.internations.org/italy-expats/guide/visas-work-permits" xr:uid="{00000000-0004-0000-0000-00001D000000}"/>
    <hyperlink ref="O8" r:id="rId31" location="digital-nomads" display="https://www.gov.uk/guidance/travel-to-greece-for-work - digital-nomads" xr:uid="{00000000-0004-0000-0000-00001E000000}"/>
    <hyperlink ref="R8" r:id="rId32" display="https://www.speedtest.net/global-index/greece" xr:uid="{00000000-0004-0000-0000-00001F000000}"/>
    <hyperlink ref="H9" r:id="rId33" display="https://en-climate--data-org.webpkgcache.com/doc/-/s/en.climate-data.org/europe/italy/lombardy/milan-1094/" xr:uid="{00000000-0004-0000-0000-000020000000}"/>
    <hyperlink ref="M9" r:id="rId34" display="https://countryeconomy.com/demography/world-happiness-index/italy" xr:uid="{00000000-0004-0000-0000-000021000000}"/>
    <hyperlink ref="O9" r:id="rId35" display="https://www.internations.org/italy-expats/guide/visas-work-permits" xr:uid="{00000000-0004-0000-0000-000022000000}"/>
    <hyperlink ref="R9" r:id="rId36" display="https://www.speedtest.net/global-index/italy" xr:uid="{00000000-0004-0000-0000-000023000000}"/>
    <hyperlink ref="AC9" r:id="rId37" display="https://www.momondo.com/hotels/milan" xr:uid="{00000000-0004-0000-0000-000024000000}"/>
    <hyperlink ref="O10" r:id="rId38" display="https://visaguide.world/europe/poland-visa/long-stay/work-visa/" xr:uid="{00000000-0004-0000-0000-000025000000}"/>
    <hyperlink ref="R10" r:id="rId39" display="https://www.speedtest.net/global-index/poland" xr:uid="{00000000-0004-0000-0000-000026000000}"/>
    <hyperlink ref="M11" r:id="rId40" location=":~:text=Despite%20climbing%2010%20places%20in,Austria%2C%20New%20Zealand%20and%20Israel." display="https://www.iamexpat.de/lifestyle/lifestyle-news/nicht-glucklich-germany-drops-down-ranking-world-happiness-report - :~:text=Despite%20climbing%2010%20places%20in,Austria%2C%20New%20Zealand%20and%20Israel." xr:uid="{00000000-0004-0000-0000-000027000000}"/>
    <hyperlink ref="O11" r:id="rId41" display="https://www.internations.org/germany-expats/guide/visas-work-permits" xr:uid="{00000000-0004-0000-0000-000028000000}"/>
    <hyperlink ref="T11" r:id="rId42" display="https://housinganywhere.com/Berlin--Germany/cost-of-living-berlin" xr:uid="{00000000-0004-0000-0000-000029000000}"/>
    <hyperlink ref="W11" r:id="rId43" display="https://housinganywhere.com/Berlin--Germany/cost-of-living-berlin" xr:uid="{00000000-0004-0000-0000-00002A000000}"/>
    <hyperlink ref="Z11" r:id="rId44" display="https://housinganywhere.com/Berlin--Germany/cost-of-living-berlin" xr:uid="{00000000-0004-0000-0000-00002B000000}"/>
    <hyperlink ref="O12" r:id="rId45" display="https://www.internations.org/austria-expats/guide/visas-work-permits" xr:uid="{00000000-0004-0000-0000-00002C000000}"/>
    <hyperlink ref="R12" r:id="rId46" display="https://www.speedtest.net/global-index/austria" xr:uid="{00000000-0004-0000-0000-00002D000000}"/>
    <hyperlink ref="G13" r:id="rId47" display="https://weather-and-climate.com/average-monthly-hours-Sunshine,Krakow,Poland" xr:uid="{00000000-0004-0000-0000-00002E000000}"/>
    <hyperlink ref="H13" r:id="rId48" location=":~:text=Krakow%20%2D%20Climate%20data,Here%20are%20the%20average%20temperatures.&amp;text=In%20Krakow%2C%20precipitation%20amounts%20to,is%20at%20an%20intermediate%20level." display="https://www.climatestotravel.com/climate/poland/krakow - :~:text=Krakow%20%2D%20Climate%20data,Here%20are%20the%20average%20temperatures.&amp;text=In%20Krakow%2C%20precipitation%20amounts%20to,is%20at%20an%20intermediate%20level." xr:uid="{00000000-0004-0000-0000-00002F000000}"/>
    <hyperlink ref="M13" r:id="rId49" display="https://countryeconomy.com/demography/world-happiness-index/poland" xr:uid="{00000000-0004-0000-0000-000030000000}"/>
    <hyperlink ref="O13" r:id="rId50" display="https://visaguide.world/europe/poland-visa/long-stay/work-visa/" xr:uid="{00000000-0004-0000-0000-000031000000}"/>
    <hyperlink ref="R13" r:id="rId51" display="https://www.speedtest.net/global-index/poland" xr:uid="{00000000-0004-0000-0000-000032000000}"/>
    <hyperlink ref="AC13" r:id="rId52" display="https://www.budgetyourtrip.com/budgetreportadv.php?country_code=&amp;startdate=&amp;enddate=&amp;categoryid=&amp;budgettype=&amp;triptype=&amp;travelerno=&amp;geonameid=3094802" xr:uid="{00000000-0004-0000-0000-000033000000}"/>
    <hyperlink ref="AR13" r:id="rId53" display="https://www.internationalschoolguide.com/poland/krakow/index.htm" xr:uid="{00000000-0004-0000-0000-000034000000}"/>
    <hyperlink ref="O14" r:id="rId54" display="https://visaguide.world/europe/belgium-visa/long-stay/work-visa/" xr:uid="{00000000-0004-0000-0000-000035000000}"/>
    <hyperlink ref="R14" r:id="rId55" display="https://www.speedtest.net/global-index/belgium" xr:uid="{00000000-0004-0000-0000-000036000000}"/>
    <hyperlink ref="O15" r:id="rId56" display="https://www.internations.org/france-expats/guide/visas-work-permits" xr:uid="{00000000-0004-0000-0000-000037000000}"/>
    <hyperlink ref="G16" r:id="rId57" display="https://www.climatestotravel.com/climate/greece/rhodes" xr:uid="{00000000-0004-0000-0000-000038000000}"/>
    <hyperlink ref="H16" r:id="rId58" display="https://en.climate-data.org/europe/greece/rhodes/rhodes-15369/" xr:uid="{00000000-0004-0000-0000-000039000000}"/>
    <hyperlink ref="M16" r:id="rId59" display="https://countryeconomy.com/demography/world-happiness-index/greece" xr:uid="{00000000-0004-0000-0000-00003A000000}"/>
    <hyperlink ref="O16" r:id="rId60" location="digital-nomads" display="https://www.gov.uk/guidance/travel-to-greece-for-work - digital-nomads" xr:uid="{00000000-0004-0000-0000-00003B000000}"/>
    <hyperlink ref="R16" r:id="rId61" display="https://testmy.net/city/rhodes_gr" xr:uid="{00000000-0004-0000-0000-00003C000000}"/>
    <hyperlink ref="Z16" r:id="rId62" display="https://theislandofrhodes.com/buses-on-rhodes/" xr:uid="{00000000-0004-0000-0000-00003D000000}"/>
    <hyperlink ref="AC16" r:id="rId63" display="https://www.budgetyourtrip.com/budgetreportadv.php?country_code=&amp;startdate=&amp;enddate=&amp;categoryid=&amp;budgettype=&amp;triptype=&amp;travelerno=&amp;geonameid=400666" xr:uid="{00000000-0004-0000-0000-00003E000000}"/>
    <hyperlink ref="AI16" r:id="rId64" display="https://www.budgetyourtrip.com/greece/rhodes" xr:uid="{00000000-0004-0000-0000-00003F000000}"/>
    <hyperlink ref="M17" r:id="rId65" display="https://countryeconomy.com/demography/world-happiness-index/portugal" xr:uid="{00000000-0004-0000-0000-000040000000}"/>
    <hyperlink ref="O17" r:id="rId66" display="https://visaguide.world/europe/portugal-visa/work-visa/" xr:uid="{00000000-0004-0000-0000-000041000000}"/>
    <hyperlink ref="R17" r:id="rId67" display="https://www.broadbandspeedchecker.co.uk/isp-directory/Portugal/Porto.html" xr:uid="{00000000-0004-0000-0000-000042000000}"/>
    <hyperlink ref="AC17" r:id="rId68" display="https://www.budgetyourtrip.com/budgetreportadv.php?country_code=&amp;startdate=&amp;enddate=&amp;categoryid=&amp;budgettype=&amp;triptype=&amp;travelerno=&amp;geonameid=2735943" xr:uid="{00000000-0004-0000-0000-000043000000}"/>
    <hyperlink ref="G18" r:id="rId69" display="https://www.statista.com/statistics/1026149/hours-of-sunshine-by-cite-france/" xr:uid="{00000000-0004-0000-0000-000044000000}"/>
    <hyperlink ref="H18" r:id="rId70" location=":~:text=The%20average%20temperature%20of%20the,Here%20are%20the%20average%20temperatures.&amp;text=Precipitation%20amounts%20to%20740%20millimeters,is%20at%20an%20intermediate%20level." display="https://www.climatestotravel.com/climate/france/nice - :~:text=The%20average%20temperature%20of%20the,Here%20are%20the%20average%20temperatures.&amp;text=Precipitation%20amounts%20to%20740%20millimeters,is%20at%20an%20intermediate%20level." xr:uid="{00000000-0004-0000-0000-000045000000}"/>
    <hyperlink ref="M18" r:id="rId71" display="https://teleport.org/cities/nice/" xr:uid="{00000000-0004-0000-0000-000046000000}"/>
    <hyperlink ref="O18" r:id="rId72" display="https://www.internations.org/france-expats/guide/visas-work-permits" xr:uid="{00000000-0004-0000-0000-000047000000}"/>
    <hyperlink ref="Z18" r:id="rId73" display="https://www.lignesdazur.com/acheter-titres-et-tarifs/la-carte-lignes-dazur" xr:uid="{00000000-0004-0000-0000-000048000000}"/>
    <hyperlink ref="AC18" r:id="rId74" display="https://www.budgetyourtrip.com/budgetreportadv.php?country_code=&amp;startdate=&amp;enddate=&amp;categoryid=&amp;budgettype=&amp;triptype=&amp;travelerno=&amp;geonameid=2990440" xr:uid="{00000000-0004-0000-0000-000049000000}"/>
    <hyperlink ref="AR18" r:id="rId75" display="https://www.internationalschoolguide.com/france/nice/index.htm" xr:uid="{00000000-0004-0000-0000-00004A000000}"/>
    <hyperlink ref="M19" r:id="rId76" display="https://teleport.org/cities/frankfurt/" xr:uid="{00000000-0004-0000-0000-00004B000000}"/>
    <hyperlink ref="O19" r:id="rId77" display="https://www.internations.org/germany-expats/guide/visas-work-permits" xr:uid="{00000000-0004-0000-0000-00004C000000}"/>
    <hyperlink ref="AC19" r:id="rId78" display="https://www.budgetyourtrip.com/budgetreportadv.php?country_code=&amp;startdate=&amp;enddate=&amp;categoryid=&amp;budgettype=&amp;triptype=&amp;travelerno=&amp;geonameid=2925533" xr:uid="{00000000-0004-0000-0000-00004D000000}"/>
    <hyperlink ref="O20" r:id="rId79" display="https://www.internations.org/netherlands-expats/guide/visas-work-permits" xr:uid="{00000000-0004-0000-0000-00004E000000}"/>
    <hyperlink ref="R20" r:id="rId80" display="https://www.prijsvergelijken.nl/compare-broadband/broadband-in-the-netherlands-guide/" xr:uid="{00000000-0004-0000-0000-00004F000000}"/>
    <hyperlink ref="O21" r:id="rId81" display="https://www.gov.uk/skilled-worker-visa/how-much-it-costs" xr:uid="{00000000-0004-0000-0000-000050000000}"/>
    <hyperlink ref="G22" r:id="rId82" display="https://weather-and-climate.com/average-monthly-hours-Sunshine,munich,Germany" xr:uid="{00000000-0004-0000-0000-000051000000}"/>
    <hyperlink ref="H22" r:id="rId83" display="https://www.climatestotravel.com/climate/germany/munich" xr:uid="{00000000-0004-0000-0000-000052000000}"/>
    <hyperlink ref="M22" r:id="rId84" display="https://www.europelanguagejobs.com/blog/10-happiest-cities-in-europe.php" xr:uid="{00000000-0004-0000-0000-000053000000}"/>
    <hyperlink ref="O22" r:id="rId85" display="https://www.internations.org/germany-expats/guide/visas-work-permits" xr:uid="{00000000-0004-0000-0000-000054000000}"/>
    <hyperlink ref="AC22" r:id="rId86" display="https://www.budgetyourtrip.com/germany/munich" xr:uid="{00000000-0004-0000-0000-000055000000}"/>
    <hyperlink ref="G23" r:id="rId87" display="https://www.climatestotravel.com/climate/croatia/dubrovnik" xr:uid="{00000000-0004-0000-0000-000056000000}"/>
    <hyperlink ref="H23" r:id="rId88" display="https://www.climatestotravel.com/climate/croatia/dubrovnik" xr:uid="{00000000-0004-0000-0000-000057000000}"/>
    <hyperlink ref="M23" r:id="rId89" display="https://countryeconomy.com/demography/world-happiness-index/croatia" xr:uid="{00000000-0004-0000-0000-000058000000}"/>
    <hyperlink ref="O23" r:id="rId90" display="https://www.akbartravels.com/work-visa/croatia" xr:uid="{00000000-0004-0000-0000-000059000000}"/>
    <hyperlink ref="R23" r:id="rId91" display="https://www.speedtest.net/performance/croatia/dubrovnik-neretva-county/dubrovnik" xr:uid="{00000000-0004-0000-0000-00005A000000}"/>
    <hyperlink ref="T23" r:id="rId92" display="https://costoflive.com/cost-of-living/in/dubrovnik" xr:uid="{00000000-0004-0000-0000-00005B000000}"/>
    <hyperlink ref="W23" r:id="rId93" display="https://costoflive.com/cost-of-living/in/dubrovnik" xr:uid="{00000000-0004-0000-0000-00005C000000}"/>
    <hyperlink ref="Z23" r:id="rId94" display="https://livingcost.org/cost/croatia/dubrovnik" xr:uid="{00000000-0004-0000-0000-00005D000000}"/>
    <hyperlink ref="AC23" r:id="rId95" display="https://www.budgetyourtrip.com/budgetreportadv.php?country_code=&amp;startdate=&amp;enddate=&amp;categoryid=&amp;budgettype=&amp;triptype=&amp;travelerno=&amp;geonameid=3201047" xr:uid="{00000000-0004-0000-0000-00005E000000}"/>
    <hyperlink ref="AI23" r:id="rId96" display="https://livingcost.org/cost/croatia/dubrovnik" xr:uid="{00000000-0004-0000-0000-00005F000000}"/>
    <hyperlink ref="G24" r:id="rId97" display="https://www.currentresults.com/Weather/United-Kingdom/annual-sunshine.php" xr:uid="{00000000-0004-0000-0000-000060000000}"/>
    <hyperlink ref="H24" r:id="rId98" location=":~:text=In%20Cardiff%2C%201%2C150%20mm%20(45,Here%20is%20the%20average%20precipitation." display="https://www.climatestotravel.com/climate/united-kingdom/wales - :~:text=In%20Cardiff%2C%201%2C150%20mm%20(45,Here%20is%20the%20average%20precipitation." xr:uid="{00000000-0004-0000-0000-000061000000}"/>
    <hyperlink ref="O24" r:id="rId99" display="https://www.gov.uk/skilled-worker-visa/how-much-it-costs" xr:uid="{00000000-0004-0000-0000-000062000000}"/>
    <hyperlink ref="AC24" r:id="rId100" display="https://www.budgetyourtrip.com/budgetreportadv.php?country_code=&amp;startdate=&amp;enddate=&amp;categoryid=&amp;budgettype=&amp;triptype=&amp;travelerno=&amp;geonameid=2653822" xr:uid="{00000000-0004-0000-0000-000063000000}"/>
    <hyperlink ref="AR24" r:id="rId101" display="https://en.wikipedia.org/wiki/Category:International_Baccalaureate_schools_in_Wales" xr:uid="{00000000-0004-0000-0000-000064000000}"/>
    <hyperlink ref="O25" r:id="rId102" display="https://visaguide.world/europe/ireland-visa/fees/" xr:uid="{00000000-0004-0000-0000-000065000000}"/>
    <hyperlink ref="R25" r:id="rId103" display="https://www.speedtest.net/performance/ireland/dublin" xr:uid="{00000000-0004-0000-0000-000066000000}"/>
    <hyperlink ref="AR25" r:id="rId104" display="https://www.expat-quotes.com/guides/ireland/education/international-schools-in-ireland.htm" xr:uid="{00000000-0004-0000-0000-000067000000}"/>
    <hyperlink ref="O26" r:id="rId105" display="https://visaguide.world/europe/denmark-visa/long-stay/work-visa/" xr:uid="{00000000-0004-0000-0000-000068000000}"/>
    <hyperlink ref="R26" r:id="rId106" display="https://testmy.net/city/porto_pt" xr:uid="{00000000-0004-0000-0000-000069000000}"/>
    <hyperlink ref="AC26" r:id="rId107" display="https://www.budgetyourtrip.com/budgetreportadv.php?country_code=&amp;startdate=&amp;enddate=&amp;categoryid=&amp;budgettype=&amp;triptype=&amp;travelerno=&amp;geonameid=2618425" xr:uid="{00000000-0004-0000-0000-00006A000000}"/>
    <hyperlink ref="O27" r:id="rId108" display="https://visaguide.world/europe/norway-visa/work-visa" xr:uid="{00000000-0004-0000-0000-00006B000000}"/>
    <hyperlink ref="R27" r:id="rId109" display="https://www.broadbandspeedchecker.co.uk/isp-directory/Norway/Oslo.html" xr:uid="{00000000-0004-0000-0000-00006C000000}"/>
    <hyperlink ref="AC27" r:id="rId110" display="https://www.budgetyourtrip.com/budgetreportadv.php?country_code=&amp;startdate=&amp;enddate=&amp;categoryid=&amp;budgettype=&amp;triptype=&amp;travelerno=&amp;geonameid=3143244" xr:uid="{00000000-0004-0000-0000-00006D000000}"/>
    <hyperlink ref="AR27" r:id="rId111" display="https://www.internationalschoolguide.com/norway/oslo/index.htm" xr:uid="{00000000-0004-0000-0000-00006E000000}"/>
    <hyperlink ref="O28" r:id="rId112" display="https://www.migrationsverket.se/English/Private-individuals/Working-in-Sweden/Fees.html" xr:uid="{00000000-0004-0000-0000-00006F000000}"/>
    <hyperlink ref="R28" r:id="rId113" display="https://www.statista.com/statistics/582643/average-mobile-internet-speed-in-sweden-by-county/" xr:uid="{00000000-0004-0000-0000-000070000000}"/>
    <hyperlink ref="AC28" r:id="rId114" display="https://www.budgetyourtrip.com/budgetreportadv.php?country_code=&amp;startdate=&amp;enddate=&amp;categoryid=&amp;budgettype=&amp;triptype=&amp;travelerno=&amp;geonameid=2673730" xr:uid="{00000000-0004-0000-0000-000071000000}"/>
    <hyperlink ref="O29" r:id="rId115" display="https://visaguide.world/europe/finland-visa/work-visa/" xr:uid="{00000000-0004-0000-0000-000072000000}"/>
    <hyperlink ref="R29" r:id="rId116" display="https://www.broadbandspeedchecker.co.uk/isp-directory/Finland/Helsinki.html" xr:uid="{00000000-0004-0000-0000-000073000000}"/>
    <hyperlink ref="AC29" r:id="rId117" display="https://www.budgetyourtrip.com/budgetreportadv.php?country_code=&amp;startdate=&amp;enddate=&amp;categoryid=&amp;budgettype=&amp;triptype=&amp;travelerno=&amp;geonameid=658225" xr:uid="{00000000-0004-0000-0000-000074000000}"/>
    <hyperlink ref="AR29" r:id="rId118" display="https://www.internationalschoolguide.com/finland/helsinki/index.htm" xr:uid="{00000000-0004-0000-0000-000075000000}"/>
    <hyperlink ref="M30" r:id="rId119" display="https://www.insider.co.uk/news/edinburgh-ranks-worlds-top-20-21626388" xr:uid="{00000000-0004-0000-0000-000076000000}"/>
    <hyperlink ref="O30" r:id="rId120" display="https://www.gov.uk/skilled-worker-visa/how-much-it-costs" xr:uid="{00000000-0004-0000-0000-000077000000}"/>
    <hyperlink ref="AC30" r:id="rId121" display="https://www.budgetyourtrip.com/budgetreportadv.php?country_code=&amp;startdate=&amp;enddate=&amp;categoryid=&amp;budgettype=&amp;triptype=&amp;travelerno=&amp;geonameid=2650225" xr:uid="{00000000-0004-0000-0000-000078000000}"/>
    <hyperlink ref="AR30" r:id="rId122" display="http://www.internationalschoolguide.com/scotland/edinburgh/index.htm" xr:uid="{00000000-0004-0000-0000-000079000000}"/>
    <hyperlink ref="M31" r:id="rId123" display="https://worldhappiness.report/ed/2020/cities-and-happiness-a-global-ranking-and-analysis/" xr:uid="{00000000-0004-0000-0000-00007A000000}"/>
    <hyperlink ref="O31" r:id="rId124" display="https://visaguide.world/europe/iceland-visa/fees/" xr:uid="{00000000-0004-0000-0000-00007B000000}"/>
    <hyperlink ref="R31" r:id="rId125" display="https://testmy.net/country/is/cities" xr:uid="{00000000-0004-0000-0000-00007C000000}"/>
    <hyperlink ref="A38" r:id="rId126" xr:uid="{00000000-0004-0000-0000-00007D000000}"/>
    <hyperlink ref="A39" r:id="rId127" xr:uid="{00000000-0004-0000-0000-00007E000000}"/>
    <hyperlink ref="A40" r:id="rId128" xr:uid="{00000000-0004-0000-0000-00007F000000}"/>
    <hyperlink ref="A41" r:id="rId129" xr:uid="{00000000-0004-0000-0000-000080000000}"/>
    <hyperlink ref="A42" r:id="rId130" xr:uid="{00000000-0004-0000-0000-000081000000}"/>
    <hyperlink ref="A43" r:id="rId131" xr:uid="{00000000-0004-0000-0000-000082000000}"/>
    <hyperlink ref="A44" r:id="rId132" xr:uid="{00000000-0004-0000-0000-000083000000}"/>
    <hyperlink ref="A45" r:id="rId133" xr:uid="{00000000-0004-0000-0000-000084000000}"/>
    <hyperlink ref="A47" r:id="rId134" xr:uid="{00000000-0004-0000-0000-000085000000}"/>
    <hyperlink ref="A50" r:id="rId135" xr:uid="{00000000-0004-0000-0000-000086000000}"/>
    <hyperlink ref="A51" r:id="rId136" xr:uid="{00000000-0004-0000-0000-000087000000}"/>
    <hyperlink ref="A52" r:id="rId137" location=":~:text=Despite%20climbing%2010%20places%20in,Austria%2C%20New%20Zealand%20and%20Israel." xr:uid="{00000000-0004-0000-0000-000088000000}"/>
    <hyperlink ref="A53" r:id="rId138" xr:uid="{00000000-0004-0000-0000-000089000000}"/>
    <hyperlink ref="A54" r:id="rId139" xr:uid="{00000000-0004-0000-0000-00008A000000}"/>
    <hyperlink ref="A55" r:id="rId140" xr:uid="{00000000-0004-0000-0000-00008B000000}"/>
    <hyperlink ref="A56" r:id="rId141" xr:uid="{00000000-0004-0000-0000-00008C000000}"/>
    <hyperlink ref="A59" r:id="rId142" location="Europe" xr:uid="{00000000-0004-0000-0000-00008D000000}"/>
    <hyperlink ref="A60" r:id="rId143" xr:uid="{00000000-0004-0000-0000-00008E000000}"/>
    <hyperlink ref="A61" r:id="rId144" xr:uid="{00000000-0004-0000-0000-00008F000000}"/>
    <hyperlink ref="A62" r:id="rId145" xr:uid="{00000000-0004-0000-0000-000090000000}"/>
    <hyperlink ref="A63" r:id="rId146" xr:uid="{00000000-0004-0000-0000-000091000000}"/>
    <hyperlink ref="A64" r:id="rId147" xr:uid="{00000000-0004-0000-0000-000092000000}"/>
    <hyperlink ref="A67" r:id="rId148" xr:uid="{00000000-0004-0000-0000-000093000000}"/>
    <hyperlink ref="A68" r:id="rId149" xr:uid="{00000000-0004-0000-0000-000094000000}"/>
    <hyperlink ref="A69" r:id="rId150" xr:uid="{00000000-0004-0000-0000-000095000000}"/>
    <hyperlink ref="A70" r:id="rId151" xr:uid="{00000000-0004-0000-0000-000096000000}"/>
    <hyperlink ref="A71" r:id="rId152" xr:uid="{00000000-0004-0000-0000-000097000000}"/>
    <hyperlink ref="A72" r:id="rId153" xr:uid="{00000000-0004-0000-0000-000098000000}"/>
    <hyperlink ref="A73" r:id="rId154" xr:uid="{00000000-0004-0000-0000-000099000000}"/>
    <hyperlink ref="A76" r:id="rId155" xr:uid="{00000000-0004-0000-0000-00009A000000}"/>
    <hyperlink ref="A79" r:id="rId156" xr:uid="{00000000-0004-0000-0000-00009B000000}"/>
    <hyperlink ref="A82" r:id="rId157" xr:uid="{00000000-0004-0000-0000-00009C000000}"/>
    <hyperlink ref="A83" r:id="rId158" xr:uid="{00000000-0004-0000-0000-00009D000000}"/>
    <hyperlink ref="A84" r:id="rId159" xr:uid="{00000000-0004-0000-0000-00009E000000}"/>
    <hyperlink ref="A85" r:id="rId160" xr:uid="{00000000-0004-0000-0000-00009F000000}"/>
    <hyperlink ref="A88" r:id="rId161" xr:uid="{00000000-0004-0000-0000-0000A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B6"/>
  <sheetViews>
    <sheetView workbookViewId="0"/>
  </sheetViews>
  <sheetFormatPr baseColWidth="10" defaultColWidth="12.5703125" defaultRowHeight="15.75" customHeight="1" x14ac:dyDescent="0.2"/>
  <cols>
    <col min="1" max="1" width="15.42578125" customWidth="1"/>
  </cols>
  <sheetData>
    <row r="2" spans="1:2" x14ac:dyDescent="0.2">
      <c r="A2" s="26" t="s">
        <v>116</v>
      </c>
      <c r="B2" s="32" t="s">
        <v>117</v>
      </c>
    </row>
    <row r="3" spans="1:2" x14ac:dyDescent="0.2">
      <c r="A3" s="26" t="s">
        <v>118</v>
      </c>
      <c r="B3" s="32" t="s">
        <v>119</v>
      </c>
    </row>
    <row r="4" spans="1:2" x14ac:dyDescent="0.2">
      <c r="A4" s="26" t="s">
        <v>120</v>
      </c>
      <c r="B4" s="32" t="s">
        <v>121</v>
      </c>
    </row>
    <row r="5" spans="1:2" x14ac:dyDescent="0.2">
      <c r="A5" s="26" t="s">
        <v>122</v>
      </c>
      <c r="B5" s="32" t="s">
        <v>123</v>
      </c>
    </row>
    <row r="6" spans="1:2" x14ac:dyDescent="0.2">
      <c r="A6" s="26" t="s">
        <v>124</v>
      </c>
      <c r="B6" s="32" t="s">
        <v>125</v>
      </c>
    </row>
  </sheetData>
  <hyperlinks>
    <hyperlink ref="B2" r:id="rId1" xr:uid="{00000000-0004-0000-0100-000000000000}"/>
    <hyperlink ref="B3" r:id="rId2" xr:uid="{00000000-0004-0000-0100-000001000000}"/>
    <hyperlink ref="B4" r:id="rId3" xr:uid="{00000000-0004-0000-0100-000002000000}"/>
    <hyperlink ref="B5" r:id="rId4" xr:uid="{00000000-0004-0000-0100-000003000000}"/>
    <hyperlink ref="B6" r:id="rId5" xr:uid="{00000000-0004-0000-0100-000004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baseColWidth="10" defaultColWidth="12.5703125" defaultRowHeight="15.75" customHeight="1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Digital nomad city data</vt:lpstr>
      <vt:lpstr>Other data source ideas</vt:lpstr>
      <vt:lpstr>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Martinhal</dc:creator>
  <cp:lastModifiedBy>Thomas Martinhal</cp:lastModifiedBy>
  <dcterms:created xsi:type="dcterms:W3CDTF">2023-02-10T09:51:12Z</dcterms:created>
  <dcterms:modified xsi:type="dcterms:W3CDTF">2023-02-10T09:51:12Z</dcterms:modified>
</cp:coreProperties>
</file>